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680" activeTab="0"/>
  </bookViews>
  <sheets>
    <sheet name="Escala Salarial 1 de MARZO 2012" sheetId="1" r:id="rId1"/>
    <sheet name="Carga Horaria" sheetId="2" r:id="rId2"/>
    <sheet name="Categorización de servicios" sheetId="3" r:id="rId3"/>
    <sheet name="Tabla ANTIG" sheetId="4" r:id="rId4"/>
  </sheets>
  <definedNames>
    <definedName name="_xlnm.Print_Titles" localSheetId="1">'Carga Horaria'!$1:$9</definedName>
  </definedNames>
  <calcPr fullCalcOnLoad="1"/>
</workbook>
</file>

<file path=xl/sharedStrings.xml><?xml version="1.0" encoding="utf-8"?>
<sst xmlns="http://schemas.openxmlformats.org/spreadsheetml/2006/main" count="402" uniqueCount="229">
  <si>
    <t>Categorías</t>
  </si>
  <si>
    <t>Secretario</t>
  </si>
  <si>
    <t>Jefe Medio de Apoyo Técnico-Pedagógico</t>
  </si>
  <si>
    <t>Prosecretario</t>
  </si>
  <si>
    <t>Bibliotecario</t>
  </si>
  <si>
    <t>Encargado Medio de Apoyo Técnico-Ped.</t>
  </si>
  <si>
    <t>Preceptor</t>
  </si>
  <si>
    <t>Director 1ª con más de un turno</t>
  </si>
  <si>
    <t>Director 1ª con un turno</t>
  </si>
  <si>
    <t>Director 2ª con más de un turno</t>
  </si>
  <si>
    <t>Director 2ª con un turno</t>
  </si>
  <si>
    <t xml:space="preserve">Director 3ª </t>
  </si>
  <si>
    <t>Vicedirector 1ª con un turno</t>
  </si>
  <si>
    <t xml:space="preserve">Jefe Medio de Apoyo Técnico - Pedagógico </t>
  </si>
  <si>
    <t>Jefe de Preceptores</t>
  </si>
  <si>
    <t>Subjefe de Preceptores</t>
  </si>
  <si>
    <t>Preceptor Residente</t>
  </si>
  <si>
    <t>Vicedirector 1ª con más de un turno</t>
  </si>
  <si>
    <t>Vicedirector 2ª con más de un turno</t>
  </si>
  <si>
    <t>Regente Técnico o de Estudios</t>
  </si>
  <si>
    <t>Jefe de área turno completo</t>
  </si>
  <si>
    <t>Jefe de área medio turno</t>
  </si>
  <si>
    <t>Subjefe de área</t>
  </si>
  <si>
    <t>Maestro Especial</t>
  </si>
  <si>
    <t xml:space="preserve">Jefe de Preceptores </t>
  </si>
  <si>
    <t>Encargado Medio de Apoyo Técnico - Ped.</t>
  </si>
  <si>
    <t>Cargo</t>
  </si>
  <si>
    <t>Indice por Módulo</t>
  </si>
  <si>
    <t>(Sueldo básico)</t>
  </si>
  <si>
    <t>1º AÑO EGB</t>
  </si>
  <si>
    <t>Artística</t>
  </si>
  <si>
    <t>Resolución  11764/97</t>
  </si>
  <si>
    <t>Educación Física</t>
  </si>
  <si>
    <t>Lengua</t>
  </si>
  <si>
    <t>Matemática</t>
  </si>
  <si>
    <t>Ciencias Sociales</t>
  </si>
  <si>
    <t>Ciencias Naturales</t>
  </si>
  <si>
    <t>2º AÑO EGB</t>
  </si>
  <si>
    <t>3º AÑO EGB</t>
  </si>
  <si>
    <t>4º AÑO EGB</t>
  </si>
  <si>
    <t>Inglés</t>
  </si>
  <si>
    <t>5º AÑO EGB</t>
  </si>
  <si>
    <t>6º AÑO EGB</t>
  </si>
  <si>
    <t>7º AÑO EGB</t>
  </si>
  <si>
    <t>8º AÑO EGB</t>
  </si>
  <si>
    <t>9º AÑO EGB</t>
  </si>
  <si>
    <t>Ruralidad</t>
  </si>
  <si>
    <t>Coeficiente</t>
  </si>
  <si>
    <t>Coeficiente 1</t>
  </si>
  <si>
    <t>Coeficiente 2</t>
  </si>
  <si>
    <t>Coeficiente 3</t>
  </si>
  <si>
    <t>Coeficiente 4</t>
  </si>
  <si>
    <t>Coeficiente 5</t>
  </si>
  <si>
    <t>Maestro de Grado Jornada completa</t>
  </si>
  <si>
    <t>ENSEÑANZA ARTÍSTICA Y SUPERIOR</t>
  </si>
  <si>
    <t>Cantidad de módulos</t>
  </si>
  <si>
    <t>Norma que estipula el índice</t>
  </si>
  <si>
    <t>Maestro de Grado</t>
  </si>
  <si>
    <t>2 semanales (Resolución 4947/95)</t>
  </si>
  <si>
    <t>4 semanales (Resolución 4947/95)</t>
  </si>
  <si>
    <t>2 semanales (Resolución 3708/96)</t>
  </si>
  <si>
    <t>4 semanales (Resolución 3708/96)</t>
  </si>
  <si>
    <t>3 semanales (Resolución 3708/96)</t>
  </si>
  <si>
    <t>5 semanales (Resolución 4947/95)</t>
  </si>
  <si>
    <t>3 semanales (Resolución 4947/95)</t>
  </si>
  <si>
    <t>2 semanales  (Resolución 11714/97)</t>
  </si>
  <si>
    <t>4 semanales  (Resolución 11714/97)</t>
  </si>
  <si>
    <t>3 semanales  (Resolución 11714/97)</t>
  </si>
  <si>
    <t>Carga horaria y pautas de liquidación salarial</t>
  </si>
  <si>
    <t>%</t>
  </si>
  <si>
    <t>Categorización de los servicios educativos de la Provincia de Buenos Aires</t>
  </si>
  <si>
    <t>Según Resolución 644/96 DGCyE</t>
  </si>
  <si>
    <t>Tabla 1</t>
  </si>
  <si>
    <t>Categoría</t>
  </si>
  <si>
    <t>Secciones</t>
  </si>
  <si>
    <t>Educación Inicial</t>
  </si>
  <si>
    <t>1º</t>
  </si>
  <si>
    <t>2º</t>
  </si>
  <si>
    <t>3º</t>
  </si>
  <si>
    <t>4 ó 5</t>
  </si>
  <si>
    <t>1 a 3</t>
  </si>
  <si>
    <t>Tabla 2</t>
  </si>
  <si>
    <t>Educación Primaria</t>
  </si>
  <si>
    <t>15 a 19</t>
  </si>
  <si>
    <t>7 a14</t>
  </si>
  <si>
    <t xml:space="preserve">1 a 6 </t>
  </si>
  <si>
    <t>Alumnos</t>
  </si>
  <si>
    <t>Educación Media y Técnica</t>
  </si>
  <si>
    <t>Tabla 3</t>
  </si>
  <si>
    <t>550 o más</t>
  </si>
  <si>
    <t>151 a 549</t>
  </si>
  <si>
    <t>Hasta 150</t>
  </si>
  <si>
    <t>Tabla 4</t>
  </si>
  <si>
    <t>Nivel Terciario</t>
  </si>
  <si>
    <t>500 o más</t>
  </si>
  <si>
    <t>101 a 499</t>
  </si>
  <si>
    <t>Hasta 100</t>
  </si>
  <si>
    <t>Carreras Completas</t>
  </si>
  <si>
    <t>4 o más</t>
  </si>
  <si>
    <t>6 o más</t>
  </si>
  <si>
    <t>Hasta 2</t>
  </si>
  <si>
    <t>Obra Social</t>
  </si>
  <si>
    <t>Aportes Personales</t>
  </si>
  <si>
    <t>Total Aportes Personales</t>
  </si>
  <si>
    <t>Total haberes</t>
  </si>
  <si>
    <t>EDUCACIÓN INICIAL Y PRIMARIA BÁSICA</t>
  </si>
  <si>
    <t>Director de 1ª con 30 a 39 secciones</t>
  </si>
  <si>
    <t>Director de 1ª con más de 40 secciones</t>
  </si>
  <si>
    <t>Director de 1ª con 20 a 29 secciones</t>
  </si>
  <si>
    <t>Director de 1ª con menos de 20 secciones</t>
  </si>
  <si>
    <t>Director de 1ª con más de 40 secciones c/ prolong. horaria</t>
  </si>
  <si>
    <t>Director de 1ª con 30 a 39 secciones c/prolong. horaria</t>
  </si>
  <si>
    <t>Director de 1ª con 20 a 29 secciones c/prolong. horaria</t>
  </si>
  <si>
    <t>Director de 1ª con menos de 20 secciones c/prolong. horaria</t>
  </si>
  <si>
    <t>Director de C.I.E. con un turno</t>
  </si>
  <si>
    <t>Director de C.I.E. con más de un turno</t>
  </si>
  <si>
    <t>Jefe de 1ª de Equipo Interdisciplinario</t>
  </si>
  <si>
    <t>Director de 2ª con prolongación horaria</t>
  </si>
  <si>
    <t xml:space="preserve">Director de 2ª sin prolongación horaria </t>
  </si>
  <si>
    <t>Vicedirector 1ª con más de 40 secciones</t>
  </si>
  <si>
    <t>Vicedirector 1ª con 30 a 39 secciones</t>
  </si>
  <si>
    <t>Vicedirector 1ª  con 20 a 29 secciones</t>
  </si>
  <si>
    <t>Vicedirector 1ª con menos de 20 secciones</t>
  </si>
  <si>
    <t>Vicedirector 1ª con más de 40 secciones c/prolong. horaria</t>
  </si>
  <si>
    <t>Vicedirector 1ª con 30 a 39 secciones c/prolong. horaria</t>
  </si>
  <si>
    <t>Vicedirector 1ª con 20 a 29 secciones c/prolong. horaria</t>
  </si>
  <si>
    <t>Vicedirector 1ª con menos de 20 secciones c/prolong. horaria</t>
  </si>
  <si>
    <t>Jefe de 2ª de Equipo Interdisciplinario</t>
  </si>
  <si>
    <t>Director 3ª con prolongación horaria</t>
  </si>
  <si>
    <t>Vicedirector 2ª </t>
  </si>
  <si>
    <t>Vicedirector 2ª  con prolongación horaria</t>
  </si>
  <si>
    <t>Coordinador de centros o distritos</t>
  </si>
  <si>
    <t xml:space="preserve">Maestro - Maestro Especial - Técnico Docente </t>
  </si>
  <si>
    <t>Maestro transferido de Nación</t>
  </si>
  <si>
    <t>Profesor - módulo</t>
  </si>
  <si>
    <t>EDUCACIÓN SECUNDARIA BÁSICA Y POLIMODAL</t>
  </si>
  <si>
    <t xml:space="preserve">Vicedirector 1ª con un turno </t>
  </si>
  <si>
    <t>Jefe de Área - Turno completo</t>
  </si>
  <si>
    <t>Subjefe de Área</t>
  </si>
  <si>
    <t>Profesor - hora cátedra</t>
  </si>
  <si>
    <t>Encargado de Medio de Apoyo Técnico - Pedagógico</t>
  </si>
  <si>
    <t>1º CICLO - Educación Primaria Básica</t>
  </si>
  <si>
    <t>2º CICLO - Educación Primaria Básica</t>
  </si>
  <si>
    <t>Educación Secundaria Básica</t>
  </si>
  <si>
    <t>Total Puntos</t>
  </si>
  <si>
    <t>Módulo de 60 Minutos</t>
  </si>
  <si>
    <t>Decretos 204/04 y 1515/04 Rem./No Bonif.</t>
  </si>
  <si>
    <t>Decreto 53/05 Art. 1       Rem./No Bonif.</t>
  </si>
  <si>
    <t>Suma Rem./ No Bonif. (proporción)</t>
  </si>
  <si>
    <t>Vicedirector 2ª  con un turno</t>
  </si>
  <si>
    <t xml:space="preserve">Vicedirector 2ª </t>
  </si>
  <si>
    <t>Total Sueldo Bruto</t>
  </si>
  <si>
    <t xml:space="preserve">I PS </t>
  </si>
  <si>
    <t>Bonificación    No Remun.      No Bonif.</t>
  </si>
  <si>
    <t xml:space="preserve">Sueldo Neto </t>
  </si>
  <si>
    <t xml:space="preserve"> </t>
  </si>
  <si>
    <t xml:space="preserve">Garantía $930,00    No Rem./No Bonif. </t>
  </si>
  <si>
    <t>Decreto Nº 519/08                Rem./NO Bonif.</t>
  </si>
  <si>
    <t>Decreto Nº 519/08 Rem./Bonif.</t>
  </si>
  <si>
    <t>ANTIGÜEDAD</t>
  </si>
  <si>
    <t>AÑOS</t>
  </si>
  <si>
    <t>MESES</t>
  </si>
  <si>
    <t>Antigüedad</t>
  </si>
  <si>
    <t>Cant. Años</t>
  </si>
  <si>
    <t>Porcentajes</t>
  </si>
  <si>
    <t>Antigüedad Rem. Bonif. Dcto. 444/07</t>
  </si>
  <si>
    <t xml:space="preserve">BASE DE INDICE ESCALAFONARIO = 1  </t>
  </si>
  <si>
    <t>(044.5)</t>
  </si>
  <si>
    <t>(044.4)</t>
  </si>
  <si>
    <t>(062,3 y 064,0)</t>
  </si>
  <si>
    <t>Bonif. Direct. 6786/00 DGCyE (SOLO EGB)</t>
  </si>
  <si>
    <t>según coeficiente</t>
  </si>
  <si>
    <t>(244.3)</t>
  </si>
  <si>
    <t>(064.6)</t>
  </si>
  <si>
    <t>(276.1)</t>
  </si>
  <si>
    <t>Suma Remuner. Bonificable Dcto 444/07</t>
  </si>
  <si>
    <t>ADICIONAL POR ENSEÑANZA</t>
  </si>
  <si>
    <t>ADICIONAL POR ENSEÑANZA PARA EL PRECEPTOR</t>
  </si>
  <si>
    <t>PSICOLOGÍA</t>
  </si>
  <si>
    <t xml:space="preserve">ESPECIAL </t>
  </si>
  <si>
    <t>REFERNCIAS</t>
  </si>
  <si>
    <t xml:space="preserve"> CONCEPTOS REMUNERATIVOS</t>
  </si>
  <si>
    <t xml:space="preserve">APORTES </t>
  </si>
  <si>
    <t>CONCEPTOS NO REMUNERATIVOS</t>
  </si>
  <si>
    <t>NETO A COBRAR</t>
  </si>
  <si>
    <t>(044.7)Bonif. Oct/07</t>
  </si>
  <si>
    <t>Suma Remuner. Bonificable Dcto 444/07 (044.5)</t>
  </si>
  <si>
    <t>Decreto Nº 519/08 Rem./Bonif. (044.4)</t>
  </si>
  <si>
    <t>Decreto Nº 519/08  Rem./NO Bonif. (044.9)</t>
  </si>
  <si>
    <t>CALCULOS DE GARANTIAS</t>
  </si>
  <si>
    <t>SB</t>
  </si>
  <si>
    <t>ANTIG</t>
  </si>
  <si>
    <t>DEC. 444/07</t>
  </si>
  <si>
    <t>BONIF. PR</t>
  </si>
  <si>
    <t>GARANTIA REMUNER.</t>
  </si>
  <si>
    <t>GARANT REM</t>
  </si>
  <si>
    <t xml:space="preserve">NETO </t>
  </si>
  <si>
    <t>GARANT. N/REM</t>
  </si>
  <si>
    <t>GARANTIA NO REMUNER.</t>
  </si>
  <si>
    <t>SUELDOS PRECEPTOR SE</t>
  </si>
  <si>
    <t>SUELDOS MAE. GR</t>
  </si>
  <si>
    <t>BONIF. MG</t>
  </si>
  <si>
    <t>no corresponde</t>
  </si>
  <si>
    <t>(011.0)</t>
  </si>
  <si>
    <t>(022.0)</t>
  </si>
  <si>
    <t>BONIFICACION NO REMUN.</t>
  </si>
  <si>
    <t>Director Institucional (Todavía No autorizado  por Dipregep para  POF y PF)</t>
  </si>
  <si>
    <t>Director Institucional  (Todavía No autorizado  por Dipregep para  POF y PF)</t>
  </si>
  <si>
    <t>Valores para liquidar</t>
  </si>
  <si>
    <t>Antigüedad de los $100</t>
  </si>
  <si>
    <t>Caja Complem.</t>
  </si>
  <si>
    <t>NUEVO</t>
  </si>
  <si>
    <t>(045.5)</t>
  </si>
  <si>
    <t>(044,9)</t>
  </si>
  <si>
    <t>Básico o Nominal Rem./Bonif.</t>
  </si>
  <si>
    <t>(044.8)</t>
  </si>
  <si>
    <t>Profesor - Artística (MK)  - Educ.Fisica (EF)</t>
  </si>
  <si>
    <t xml:space="preserve">Profesor - ingles  (B2)   </t>
  </si>
  <si>
    <t>Garantía Rem. No Bonif. a $730,00</t>
  </si>
  <si>
    <t>Ayudante de cátedra - hora</t>
  </si>
  <si>
    <t>Bonificacion por Enseñanza y 
Bonificacion Preceptor</t>
  </si>
  <si>
    <t>Bonificacion  Funcion Especian</t>
  </si>
  <si>
    <t>(064,1, 062,3 y 065,3)</t>
  </si>
  <si>
    <t>Bonificacion Remunerativa No Bonificable</t>
  </si>
  <si>
    <t xml:space="preserve">                                                                       Grilla Salarial NO OFICIAL  - Provincia de Buenos Aires -</t>
  </si>
  <si>
    <t xml:space="preserve">Estas garantías corresponden para todos los cargos de base. La garantía de $730,00 es Remunerativa y No Bonificable, en cambio la garantía de $ 930,00 es No remunerativa y No bonificable. </t>
  </si>
  <si>
    <t>FONID o Res. 02/04 NETO CGEP</t>
  </si>
  <si>
    <t>Cuota Extraordinaria FONID o Res. 02/04 NETO CGEP de  Julio a Diciembre</t>
  </si>
  <si>
    <t xml:space="preserve">NOTA DE REDES: los ejemplos de liquidación de cada uno de los cargos docentes de esta grilla  NO DEBEN ser tomados como importes exactos, sino exclusivamente a título de ejemplo. 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</si>
</sst>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0.000"/>
    <numFmt numFmtId="185" formatCode="0.0"/>
    <numFmt numFmtId="186" formatCode="&quot;$&quot;\ #,##0.0;[Red]&quot;$&quot;\ \-#,##0.0"/>
    <numFmt numFmtId="187" formatCode="0.0000000"/>
    <numFmt numFmtId="188" formatCode="0.000000"/>
    <numFmt numFmtId="189" formatCode="0.00000"/>
    <numFmt numFmtId="190" formatCode="0.0000"/>
    <numFmt numFmtId="191" formatCode="_ &quot;$&quot;\ * #,##0.000_ ;_ &quot;$&quot;\ * \-#,##0.000_ ;_ &quot;$&quot;\ * &quot;-&quot;???_ ;_ @_ "/>
    <numFmt numFmtId="192" formatCode="_ &quot;$&quot;\ * #,##0.000_ ;_ &quot;$&quot;\ * \-#,##0.000_ ;_ &quot;$&quot;\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0"/>
      <color indexed="9"/>
      <name val="Helvetica"/>
      <family val="2"/>
    </font>
    <font>
      <sz val="20"/>
      <color indexed="9"/>
      <name val="Helvetica"/>
      <family val="2"/>
    </font>
    <font>
      <sz val="7.5"/>
      <name val="Helvetica"/>
      <family val="2"/>
    </font>
    <font>
      <sz val="20"/>
      <name val="Helvetica"/>
      <family val="2"/>
    </font>
    <font>
      <sz val="10"/>
      <color indexed="9"/>
      <name val="Helvetica"/>
      <family val="2"/>
    </font>
    <font>
      <b/>
      <sz val="7.5"/>
      <color indexed="9"/>
      <name val="Helvetica"/>
      <family val="2"/>
    </font>
    <font>
      <sz val="16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sz val="12"/>
      <color indexed="9"/>
      <name val="Helvetica"/>
      <family val="2"/>
    </font>
    <font>
      <sz val="9"/>
      <name val="Helvetica"/>
      <family val="2"/>
    </font>
    <font>
      <u val="single"/>
      <sz val="10"/>
      <color indexed="36"/>
      <name val="Arial"/>
      <family val="0"/>
    </font>
    <font>
      <b/>
      <sz val="11"/>
      <color indexed="9"/>
      <name val="Helvetica"/>
      <family val="2"/>
    </font>
    <font>
      <sz val="8"/>
      <name val="Arial"/>
      <family val="0"/>
    </font>
    <font>
      <b/>
      <sz val="9"/>
      <name val="Helvetica"/>
      <family val="2"/>
    </font>
    <font>
      <b/>
      <sz val="8"/>
      <name val="Helvetic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Helvetica"/>
      <family val="2"/>
    </font>
    <font>
      <b/>
      <sz val="14"/>
      <name val="Helvetica"/>
      <family val="2"/>
    </font>
    <font>
      <b/>
      <sz val="36"/>
      <name val="Helvetic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13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44" fontId="4" fillId="0" borderId="0" xfId="50" applyFont="1" applyAlignment="1">
      <alignment vertical="center"/>
    </xf>
    <xf numFmtId="44" fontId="7" fillId="0" borderId="0" xfId="50" applyFont="1" applyAlignment="1">
      <alignment vertical="center"/>
    </xf>
    <xf numFmtId="44" fontId="7" fillId="0" borderId="0" xfId="50" applyFont="1" applyBorder="1" applyAlignment="1">
      <alignment horizontal="center" vertical="center" wrapText="1"/>
    </xf>
    <xf numFmtId="44" fontId="9" fillId="34" borderId="13" xfId="50" applyFont="1" applyFill="1" applyBorder="1" applyAlignment="1">
      <alignment horizontal="center" vertical="center" wrapText="1"/>
    </xf>
    <xf numFmtId="44" fontId="7" fillId="34" borderId="18" xfId="5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5" borderId="19" xfId="0" applyFont="1" applyFill="1" applyBorder="1" applyAlignment="1">
      <alignment/>
    </xf>
    <xf numFmtId="0" fontId="14" fillId="35" borderId="13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35" borderId="19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 wrapText="1"/>
    </xf>
    <xf numFmtId="44" fontId="4" fillId="0" borderId="0" xfId="50" applyFont="1" applyBorder="1" applyAlignment="1">
      <alignment horizontal="center" wrapText="1"/>
    </xf>
    <xf numFmtId="0" fontId="10" fillId="34" borderId="22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44" fontId="9" fillId="34" borderId="22" xfId="50" applyFont="1" applyFill="1" applyBorder="1" applyAlignment="1">
      <alignment horizontal="center" vertical="center" wrapText="1"/>
    </xf>
    <xf numFmtId="44" fontId="7" fillId="34" borderId="13" xfId="50" applyFont="1" applyFill="1" applyBorder="1" applyAlignment="1">
      <alignment vertical="center"/>
    </xf>
    <xf numFmtId="44" fontId="7" fillId="34" borderId="22" xfId="50" applyFont="1" applyFill="1" applyBorder="1" applyAlignment="1">
      <alignment vertical="center"/>
    </xf>
    <xf numFmtId="44" fontId="7" fillId="0" borderId="0" xfId="5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4" fontId="4" fillId="0" borderId="24" xfId="50" applyFont="1" applyBorder="1" applyAlignment="1">
      <alignment vertical="center"/>
    </xf>
    <xf numFmtId="44" fontId="7" fillId="0" borderId="24" xfId="50" applyFont="1" applyBorder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4" fontId="9" fillId="34" borderId="10" xfId="50" applyFont="1" applyFill="1" applyBorder="1" applyAlignment="1">
      <alignment horizontal="center" vertical="center" wrapText="1"/>
    </xf>
    <xf numFmtId="44" fontId="7" fillId="34" borderId="10" xfId="50" applyFont="1" applyFill="1" applyBorder="1" applyAlignment="1">
      <alignment vertical="center"/>
    </xf>
    <xf numFmtId="44" fontId="7" fillId="34" borderId="20" xfId="50" applyFont="1" applyFill="1" applyBorder="1" applyAlignment="1">
      <alignment vertical="center"/>
    </xf>
    <xf numFmtId="44" fontId="4" fillId="0" borderId="0" xfId="5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4" fontId="4" fillId="0" borderId="0" xfId="5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8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8" fontId="10" fillId="33" borderId="12" xfId="0" applyNumberFormat="1" applyFont="1" applyFill="1" applyBorder="1" applyAlignment="1">
      <alignment horizontal="center" vertical="center" wrapText="1"/>
    </xf>
    <xf numFmtId="44" fontId="4" fillId="0" borderId="25" xfId="50" applyFont="1" applyBorder="1" applyAlignment="1">
      <alignment vertical="center"/>
    </xf>
    <xf numFmtId="44" fontId="4" fillId="0" borderId="20" xfId="50" applyFont="1" applyBorder="1" applyAlignment="1">
      <alignment vertical="center"/>
    </xf>
    <xf numFmtId="44" fontId="7" fillId="34" borderId="26" xfId="50" applyFont="1" applyFill="1" applyBorder="1" applyAlignment="1">
      <alignment vertical="center"/>
    </xf>
    <xf numFmtId="44" fontId="4" fillId="0" borderId="21" xfId="50" applyFont="1" applyBorder="1" applyAlignment="1">
      <alignment vertical="center"/>
    </xf>
    <xf numFmtId="44" fontId="10" fillId="34" borderId="18" xfId="5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33" borderId="28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9" fontId="4" fillId="36" borderId="18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9" fontId="4" fillId="36" borderId="20" xfId="0" applyNumberFormat="1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9" fontId="4" fillId="36" borderId="2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44" fontId="4" fillId="0" borderId="0" xfId="50" applyFont="1" applyFill="1" applyBorder="1" applyAlignment="1">
      <alignment horizontal="center"/>
    </xf>
    <xf numFmtId="44" fontId="4" fillId="0" borderId="0" xfId="50" applyFont="1" applyFill="1" applyBorder="1" applyAlignment="1">
      <alignment horizontal="center" wrapText="1"/>
    </xf>
    <xf numFmtId="44" fontId="4" fillId="0" borderId="0" xfId="5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4" fontId="4" fillId="37" borderId="31" xfId="50" applyFont="1" applyFill="1" applyBorder="1" applyAlignment="1">
      <alignment horizontal="center" wrapText="1"/>
    </xf>
    <xf numFmtId="44" fontId="4" fillId="38" borderId="23" xfId="50" applyFont="1" applyFill="1" applyBorder="1" applyAlignment="1">
      <alignment horizontal="center" wrapText="1"/>
    </xf>
    <xf numFmtId="44" fontId="4" fillId="39" borderId="31" xfId="50" applyFont="1" applyFill="1" applyBorder="1" applyAlignment="1">
      <alignment horizontal="center" wrapText="1"/>
    </xf>
    <xf numFmtId="44" fontId="4" fillId="40" borderId="32" xfId="50" applyFont="1" applyFill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44" fontId="3" fillId="38" borderId="10" xfId="50" applyFont="1" applyFill="1" applyBorder="1" applyAlignment="1">
      <alignment/>
    </xf>
    <xf numFmtId="44" fontId="3" fillId="40" borderId="10" xfId="50" applyFont="1" applyFill="1" applyBorder="1" applyAlignment="1">
      <alignment/>
    </xf>
    <xf numFmtId="44" fontId="3" fillId="41" borderId="33" xfId="50" applyFont="1" applyFill="1" applyBorder="1" applyAlignment="1">
      <alignment/>
    </xf>
    <xf numFmtId="44" fontId="3" fillId="42" borderId="10" xfId="5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13" fontId="4" fillId="0" borderId="10" xfId="0" applyNumberFormat="1" applyFont="1" applyFill="1" applyBorder="1" applyAlignment="1">
      <alignment horizontal="center" wrapText="1"/>
    </xf>
    <xf numFmtId="44" fontId="3" fillId="42" borderId="10" xfId="50" applyFont="1" applyFill="1" applyBorder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43" borderId="0" xfId="0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8" fontId="3" fillId="42" borderId="10" xfId="50" applyNumberFormat="1" applyFont="1" applyFill="1" applyBorder="1" applyAlignment="1">
      <alignment/>
    </xf>
    <xf numFmtId="44" fontId="3" fillId="41" borderId="10" xfId="50" applyFont="1" applyFill="1" applyBorder="1" applyAlignment="1">
      <alignment/>
    </xf>
    <xf numFmtId="44" fontId="19" fillId="40" borderId="10" xfId="50" applyFont="1" applyFill="1" applyBorder="1" applyAlignment="1">
      <alignment/>
    </xf>
    <xf numFmtId="44" fontId="19" fillId="39" borderId="10" xfId="5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49" fontId="20" fillId="0" borderId="32" xfId="0" applyNumberFormat="1" applyFont="1" applyFill="1" applyBorder="1" applyAlignment="1">
      <alignment horizontal="center" vertical="center" wrapText="1"/>
    </xf>
    <xf numFmtId="6" fontId="3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1" fillId="41" borderId="35" xfId="0" applyFont="1" applyFill="1" applyBorder="1" applyAlignment="1">
      <alignment wrapText="1"/>
    </xf>
    <xf numFmtId="6" fontId="21" fillId="41" borderId="36" xfId="0" applyNumberFormat="1" applyFont="1" applyFill="1" applyBorder="1" applyAlignment="1">
      <alignment horizontal="right" wrapText="1"/>
    </xf>
    <xf numFmtId="0" fontId="21" fillId="41" borderId="37" xfId="0" applyFont="1" applyFill="1" applyBorder="1" applyAlignment="1">
      <alignment wrapText="1"/>
    </xf>
    <xf numFmtId="6" fontId="21" fillId="41" borderId="38" xfId="0" applyNumberFormat="1" applyFont="1" applyFill="1" applyBorder="1" applyAlignment="1">
      <alignment horizontal="right" wrapText="1"/>
    </xf>
    <xf numFmtId="9" fontId="21" fillId="41" borderId="36" xfId="0" applyNumberFormat="1" applyFont="1" applyFill="1" applyBorder="1" applyAlignment="1">
      <alignment horizontal="right" wrapText="1"/>
    </xf>
    <xf numFmtId="9" fontId="21" fillId="41" borderId="38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wrapText="1"/>
    </xf>
    <xf numFmtId="44" fontId="15" fillId="0" borderId="31" xfId="5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33" borderId="20" xfId="0" applyFont="1" applyFill="1" applyBorder="1" applyAlignment="1">
      <alignment horizontal="center" shrinkToFit="1"/>
    </xf>
    <xf numFmtId="9" fontId="4" fillId="0" borderId="20" xfId="0" applyNumberFormat="1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4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6" fontId="21" fillId="41" borderId="0" xfId="0" applyNumberFormat="1" applyFont="1" applyFill="1" applyBorder="1" applyAlignment="1">
      <alignment horizontal="right" wrapText="1"/>
    </xf>
    <xf numFmtId="0" fontId="24" fillId="41" borderId="35" xfId="0" applyFont="1" applyFill="1" applyBorder="1" applyAlignment="1">
      <alignment wrapText="1"/>
    </xf>
    <xf numFmtId="0" fontId="0" fillId="0" borderId="0" xfId="0" applyBorder="1" applyAlignment="1">
      <alignment/>
    </xf>
    <xf numFmtId="8" fontId="3" fillId="40" borderId="10" xfId="50" applyNumberFormat="1" applyFont="1" applyFill="1" applyBorder="1" applyAlignment="1">
      <alignment/>
    </xf>
    <xf numFmtId="0" fontId="28" fillId="41" borderId="0" xfId="0" applyFont="1" applyFill="1" applyBorder="1" applyAlignment="1">
      <alignment wrapText="1"/>
    </xf>
    <xf numFmtId="0" fontId="26" fillId="44" borderId="0" xfId="0" applyFont="1" applyFill="1" applyBorder="1" applyAlignment="1">
      <alignment vertical="center" wrapText="1"/>
    </xf>
    <xf numFmtId="0" fontId="4" fillId="44" borderId="0" xfId="0" applyFont="1" applyFill="1" applyBorder="1" applyAlignment="1">
      <alignment wrapText="1"/>
    </xf>
    <xf numFmtId="0" fontId="4" fillId="44" borderId="0" xfId="0" applyFont="1" applyFill="1" applyAlignment="1">
      <alignment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4" fontId="3" fillId="0" borderId="47" xfId="50" applyFont="1" applyFill="1" applyBorder="1" applyAlignment="1">
      <alignment horizontal="center" vertical="center" wrapText="1"/>
    </xf>
    <xf numFmtId="44" fontId="3" fillId="0" borderId="48" xfId="50" applyFont="1" applyFill="1" applyBorder="1" applyAlignment="1">
      <alignment horizontal="center" vertical="center" wrapText="1"/>
    </xf>
    <xf numFmtId="44" fontId="3" fillId="0" borderId="34" xfId="50" applyFont="1" applyFill="1" applyBorder="1" applyAlignment="1">
      <alignment horizontal="center" vertical="center" wrapText="1"/>
    </xf>
    <xf numFmtId="44" fontId="3" fillId="0" borderId="49" xfId="50" applyFont="1" applyFill="1" applyBorder="1" applyAlignment="1">
      <alignment horizontal="center" vertical="center" wrapText="1"/>
    </xf>
    <xf numFmtId="44" fontId="3" fillId="0" borderId="50" xfId="50" applyFont="1" applyFill="1" applyBorder="1" applyAlignment="1">
      <alignment horizontal="center" vertical="center" wrapText="1"/>
    </xf>
    <xf numFmtId="44" fontId="3" fillId="0" borderId="51" xfId="50" applyFont="1" applyFill="1" applyBorder="1" applyAlignment="1">
      <alignment horizontal="center" vertical="center" wrapText="1"/>
    </xf>
    <xf numFmtId="9" fontId="3" fillId="0" borderId="44" xfId="0" applyNumberFormat="1" applyFont="1" applyFill="1" applyBorder="1" applyAlignment="1">
      <alignment horizontal="center" vertical="center" wrapText="1"/>
    </xf>
    <xf numFmtId="9" fontId="3" fillId="0" borderId="46" xfId="0" applyNumberFormat="1" applyFont="1" applyFill="1" applyBorder="1" applyAlignment="1">
      <alignment horizontal="center" vertical="center" wrapText="1"/>
    </xf>
    <xf numFmtId="10" fontId="3" fillId="0" borderId="44" xfId="0" applyNumberFormat="1" applyFont="1" applyFill="1" applyBorder="1" applyAlignment="1">
      <alignment horizontal="center" vertical="center" wrapText="1"/>
    </xf>
    <xf numFmtId="10" fontId="3" fillId="0" borderId="4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5" fillId="40" borderId="23" xfId="0" applyFont="1" applyFill="1" applyBorder="1" applyAlignment="1">
      <alignment horizontal="center" vertical="center" wrapText="1"/>
    </xf>
    <xf numFmtId="0" fontId="25" fillId="40" borderId="24" xfId="0" applyFont="1" applyFill="1" applyBorder="1" applyAlignment="1">
      <alignment horizontal="center" vertical="center" wrapText="1"/>
    </xf>
    <xf numFmtId="0" fontId="25" fillId="40" borderId="25" xfId="0" applyFont="1" applyFill="1" applyBorder="1" applyAlignment="1">
      <alignment horizontal="center" vertical="center" wrapText="1"/>
    </xf>
    <xf numFmtId="0" fontId="25" fillId="40" borderId="42" xfId="0" applyFont="1" applyFill="1" applyBorder="1" applyAlignment="1">
      <alignment horizontal="center" vertical="center" wrapText="1"/>
    </xf>
    <xf numFmtId="0" fontId="25" fillId="40" borderId="0" xfId="0" applyFont="1" applyFill="1" applyBorder="1" applyAlignment="1">
      <alignment horizontal="center" vertical="center" wrapText="1"/>
    </xf>
    <xf numFmtId="0" fontId="25" fillId="40" borderId="43" xfId="0" applyFont="1" applyFill="1" applyBorder="1" applyAlignment="1">
      <alignment horizontal="center" vertical="center" wrapText="1"/>
    </xf>
    <xf numFmtId="0" fontId="25" fillId="40" borderId="53" xfId="0" applyFont="1" applyFill="1" applyBorder="1" applyAlignment="1">
      <alignment horizontal="center" vertical="center" wrapText="1"/>
    </xf>
    <xf numFmtId="0" fontId="25" fillId="40" borderId="54" xfId="0" applyFont="1" applyFill="1" applyBorder="1" applyAlignment="1">
      <alignment horizontal="center" vertical="center" wrapText="1"/>
    </xf>
    <xf numFmtId="0" fontId="25" fillId="40" borderId="55" xfId="0" applyFont="1" applyFill="1" applyBorder="1" applyAlignment="1">
      <alignment horizontal="center" vertical="center" wrapText="1"/>
    </xf>
    <xf numFmtId="0" fontId="27" fillId="45" borderId="0" xfId="0" applyFont="1" applyFill="1" applyAlignment="1">
      <alignment horizontal="left"/>
    </xf>
    <xf numFmtId="0" fontId="21" fillId="41" borderId="44" xfId="0" applyFont="1" applyFill="1" applyBorder="1" applyAlignment="1">
      <alignment horizontal="center" vertical="center" wrapText="1"/>
    </xf>
    <xf numFmtId="0" fontId="23" fillId="41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6" fillId="45" borderId="23" xfId="0" applyFont="1" applyFill="1" applyBorder="1" applyAlignment="1">
      <alignment horizontal="left" vertical="center" wrapText="1"/>
    </xf>
    <xf numFmtId="0" fontId="26" fillId="45" borderId="24" xfId="0" applyFont="1" applyFill="1" applyBorder="1" applyAlignment="1">
      <alignment horizontal="left" vertical="center" wrapText="1"/>
    </xf>
    <xf numFmtId="0" fontId="26" fillId="45" borderId="25" xfId="0" applyFont="1" applyFill="1" applyBorder="1" applyAlignment="1">
      <alignment horizontal="left" vertical="center" wrapText="1"/>
    </xf>
    <xf numFmtId="0" fontId="26" fillId="45" borderId="53" xfId="0" applyFont="1" applyFill="1" applyBorder="1" applyAlignment="1">
      <alignment horizontal="left" vertical="center" wrapText="1"/>
    </xf>
    <xf numFmtId="0" fontId="26" fillId="45" borderId="54" xfId="0" applyFont="1" applyFill="1" applyBorder="1" applyAlignment="1">
      <alignment horizontal="left" vertical="center" wrapText="1"/>
    </xf>
    <xf numFmtId="0" fontId="26" fillId="45" borderId="55" xfId="0" applyFont="1" applyFill="1" applyBorder="1" applyAlignment="1">
      <alignment horizontal="left" vertical="center" wrapText="1"/>
    </xf>
    <xf numFmtId="44" fontId="4" fillId="0" borderId="56" xfId="50" applyFont="1" applyBorder="1" applyAlignment="1">
      <alignment horizontal="center" vertical="center"/>
    </xf>
    <xf numFmtId="44" fontId="4" fillId="0" borderId="57" xfId="50" applyFont="1" applyBorder="1" applyAlignment="1">
      <alignment horizontal="center" vertical="center"/>
    </xf>
    <xf numFmtId="44" fontId="4" fillId="0" borderId="38" xfId="50" applyFont="1" applyBorder="1" applyAlignment="1">
      <alignment horizontal="center" vertical="center"/>
    </xf>
    <xf numFmtId="44" fontId="4" fillId="0" borderId="20" xfId="50" applyFont="1" applyBorder="1" applyAlignment="1">
      <alignment horizontal="center" vertical="center"/>
    </xf>
    <xf numFmtId="44" fontId="4" fillId="0" borderId="26" xfId="5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4" fontId="4" fillId="0" borderId="10" xfId="50" applyFont="1" applyBorder="1" applyAlignment="1">
      <alignment horizontal="center" vertical="center" wrapText="1"/>
    </xf>
    <xf numFmtId="44" fontId="10" fillId="33" borderId="58" xfId="50" applyFont="1" applyFill="1" applyBorder="1" applyAlignment="1">
      <alignment horizontal="center" vertical="center" wrapText="1"/>
    </xf>
    <xf numFmtId="44" fontId="10" fillId="33" borderId="59" xfId="5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1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10" fillId="33" borderId="12" xfId="50" applyFont="1" applyFill="1" applyBorder="1" applyAlignment="1">
      <alignment horizontal="center" vertical="center" wrapText="1"/>
    </xf>
    <xf numFmtId="44" fontId="10" fillId="33" borderId="15" xfId="5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44" fontId="4" fillId="0" borderId="14" xfId="5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3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3" fontId="4" fillId="0" borderId="11" xfId="0" applyNumberFormat="1" applyFont="1" applyBorder="1" applyAlignment="1">
      <alignment horizontal="center" vertical="center" wrapText="1"/>
    </xf>
    <xf numFmtId="13" fontId="4" fillId="0" borderId="12" xfId="0" applyNumberFormat="1" applyFont="1" applyBorder="1" applyAlignment="1">
      <alignment horizontal="center" vertical="center" wrapText="1"/>
    </xf>
    <xf numFmtId="13" fontId="4" fillId="0" borderId="15" xfId="0" applyNumberFormat="1" applyFont="1" applyBorder="1" applyAlignment="1">
      <alignment horizontal="center" vertical="center" wrapText="1"/>
    </xf>
    <xf numFmtId="44" fontId="4" fillId="0" borderId="11" xfId="50" applyFont="1" applyBorder="1" applyAlignment="1">
      <alignment horizontal="center" vertical="center" wrapText="1"/>
    </xf>
    <xf numFmtId="44" fontId="4" fillId="0" borderId="12" xfId="50" applyFont="1" applyBorder="1" applyAlignment="1">
      <alignment horizontal="center" vertical="center" wrapText="1"/>
    </xf>
    <xf numFmtId="44" fontId="4" fillId="0" borderId="15" xfId="50" applyFont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0" fontId="10" fillId="34" borderId="6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6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4" fillId="0" borderId="65" xfId="0" applyFont="1" applyFill="1" applyBorder="1" applyAlignment="1">
      <alignment horizontal="center" vertical="center" textRotation="90" wrapText="1"/>
    </xf>
    <xf numFmtId="0" fontId="4" fillId="0" borderId="66" xfId="0" applyFont="1" applyBorder="1" applyAlignment="1">
      <alignment/>
    </xf>
    <xf numFmtId="0" fontId="4" fillId="0" borderId="64" xfId="0" applyFont="1" applyBorder="1" applyAlignment="1">
      <alignment/>
    </xf>
    <xf numFmtId="0" fontId="7" fillId="0" borderId="61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4" fillId="0" borderId="68" xfId="0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textRotation="90" wrapText="1"/>
    </xf>
    <xf numFmtId="0" fontId="6" fillId="34" borderId="42" xfId="0" applyFont="1" applyFill="1" applyBorder="1" applyAlignment="1">
      <alignment horizontal="center" vertical="center" textRotation="90" wrapText="1"/>
    </xf>
    <xf numFmtId="0" fontId="6" fillId="34" borderId="53" xfId="0" applyFont="1" applyFill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44" fontId="4" fillId="0" borderId="10" xfId="50" applyFont="1" applyBorder="1" applyAlignment="1">
      <alignment horizontal="center" vertical="center"/>
    </xf>
    <xf numFmtId="44" fontId="10" fillId="33" borderId="58" xfId="50" applyFont="1" applyFill="1" applyBorder="1" applyAlignment="1">
      <alignment horizontal="center" wrapText="1"/>
    </xf>
    <xf numFmtId="44" fontId="10" fillId="33" borderId="57" xfId="50" applyFont="1" applyFill="1" applyBorder="1" applyAlignment="1">
      <alignment horizontal="center" wrapText="1"/>
    </xf>
    <xf numFmtId="44" fontId="10" fillId="33" borderId="57" xfId="50" applyFont="1" applyFill="1" applyBorder="1" applyAlignment="1">
      <alignment horizontal="center" vertical="center" wrapText="1"/>
    </xf>
    <xf numFmtId="44" fontId="10" fillId="33" borderId="38" xfId="50" applyFont="1" applyFill="1" applyBorder="1" applyAlignment="1">
      <alignment horizontal="center" vertical="center" wrapText="1"/>
    </xf>
    <xf numFmtId="44" fontId="4" fillId="0" borderId="11" xfId="50" applyFont="1" applyBorder="1" applyAlignment="1">
      <alignment horizontal="center" vertical="center"/>
    </xf>
    <xf numFmtId="44" fontId="4" fillId="0" borderId="12" xfId="50" applyFont="1" applyBorder="1" applyAlignment="1">
      <alignment horizontal="center" vertical="center"/>
    </xf>
    <xf numFmtId="44" fontId="4" fillId="0" borderId="15" xfId="50" applyFont="1" applyBorder="1" applyAlignment="1">
      <alignment horizontal="center" vertical="center"/>
    </xf>
    <xf numFmtId="44" fontId="4" fillId="0" borderId="14" xfId="50" applyFont="1" applyBorder="1" applyAlignment="1">
      <alignment horizontal="center" vertical="center"/>
    </xf>
    <xf numFmtId="44" fontId="4" fillId="0" borderId="21" xfId="50" applyFont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35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24</xdr:row>
      <xdr:rowOff>47625</xdr:rowOff>
    </xdr:from>
    <xdr:to>
      <xdr:col>17</xdr:col>
      <xdr:colOff>800100</xdr:colOff>
      <xdr:row>25</xdr:row>
      <xdr:rowOff>85725</xdr:rowOff>
    </xdr:to>
    <xdr:sp>
      <xdr:nvSpPr>
        <xdr:cNvPr id="1" name="2 Conector recto de flecha"/>
        <xdr:cNvSpPr>
          <a:spLocks/>
        </xdr:cNvSpPr>
      </xdr:nvSpPr>
      <xdr:spPr>
        <a:xfrm flipV="1">
          <a:off x="17240250" y="2495550"/>
          <a:ext cx="125730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114300</xdr:colOff>
      <xdr:row>24</xdr:row>
      <xdr:rowOff>38100</xdr:rowOff>
    </xdr:from>
    <xdr:to>
      <xdr:col>26</xdr:col>
      <xdr:colOff>457200</xdr:colOff>
      <xdr:row>25</xdr:row>
      <xdr:rowOff>180975</xdr:rowOff>
    </xdr:to>
    <xdr:sp>
      <xdr:nvSpPr>
        <xdr:cNvPr id="2" name="3 Conector recto de flecha"/>
        <xdr:cNvSpPr>
          <a:spLocks/>
        </xdr:cNvSpPr>
      </xdr:nvSpPr>
      <xdr:spPr>
        <a:xfrm flipH="1" flipV="1">
          <a:off x="24203025" y="2486025"/>
          <a:ext cx="12668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2</xdr:row>
      <xdr:rowOff>161925</xdr:rowOff>
    </xdr:to>
    <xdr:pic>
      <xdr:nvPicPr>
        <xdr:cNvPr id="1" name="Picture 5" descr="Redorga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3</xdr:row>
      <xdr:rowOff>85725</xdr:rowOff>
    </xdr:to>
    <xdr:pic>
      <xdr:nvPicPr>
        <xdr:cNvPr id="1" name="Picture 1" descr="Redorg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44"/>
  <sheetViews>
    <sheetView tabSelected="1" zoomScale="75" zoomScaleNormal="75" zoomScalePageLayoutView="0" workbookViewId="0" topLeftCell="B1">
      <selection activeCell="A22" sqref="A22:G23"/>
    </sheetView>
  </sheetViews>
  <sheetFormatPr defaultColWidth="11.421875" defaultRowHeight="12.75"/>
  <cols>
    <col min="1" max="1" width="64.140625" style="1" customWidth="1"/>
    <col min="2" max="2" width="9.140625" style="1" customWidth="1"/>
    <col min="3" max="3" width="9.28125" style="1" customWidth="1"/>
    <col min="4" max="4" width="8.7109375" style="1" customWidth="1"/>
    <col min="5" max="5" width="14.421875" style="1" customWidth="1"/>
    <col min="6" max="6" width="12.8515625" style="1" customWidth="1"/>
    <col min="7" max="7" width="13.00390625" style="1" customWidth="1"/>
    <col min="8" max="8" width="13.57421875" style="1" customWidth="1"/>
    <col min="9" max="9" width="15.28125" style="1" customWidth="1"/>
    <col min="10" max="10" width="10.8515625" style="1" customWidth="1"/>
    <col min="11" max="12" width="13.57421875" style="1" customWidth="1"/>
    <col min="13" max="13" width="13.7109375" style="1" customWidth="1"/>
    <col min="14" max="14" width="13.421875" style="1" customWidth="1"/>
    <col min="15" max="15" width="14.28125" style="1" customWidth="1"/>
    <col min="16" max="16" width="10.8515625" style="1" customWidth="1"/>
    <col min="17" max="18" width="14.7109375" style="1" customWidth="1"/>
    <col min="19" max="19" width="12.57421875" style="1" customWidth="1"/>
    <col min="20" max="20" width="11.140625" style="1" customWidth="1"/>
    <col min="21" max="21" width="12.7109375" style="1" customWidth="1"/>
    <col min="22" max="23" width="15.140625" style="1" customWidth="1"/>
    <col min="24" max="24" width="14.57421875" style="1" hidden="1" customWidth="1"/>
    <col min="25" max="25" width="14.421875" style="1" customWidth="1"/>
    <col min="26" max="26" width="13.8515625" style="1" customWidth="1"/>
    <col min="27" max="27" width="14.57421875" style="55" customWidth="1"/>
    <col min="28" max="28" width="13.57421875" style="55" customWidth="1"/>
    <col min="29" max="16384" width="11.421875" style="1" customWidth="1"/>
  </cols>
  <sheetData>
    <row r="4" spans="1:28" ht="45">
      <c r="A4" s="197" t="s">
        <v>224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"/>
    </row>
    <row r="5" ht="17.25" customHeight="1">
      <c r="A5" s="1" t="s">
        <v>155</v>
      </c>
    </row>
    <row r="6" spans="19:25" ht="14.25" customHeight="1" thickBot="1">
      <c r="S6" s="17"/>
      <c r="T6" s="142"/>
      <c r="U6" s="142"/>
      <c r="V6" s="142"/>
      <c r="W6" s="142"/>
      <c r="X6" s="142"/>
      <c r="Y6" s="142"/>
    </row>
    <row r="7" spans="1:25" ht="12.75" customHeight="1" hidden="1">
      <c r="A7" s="198" t="s">
        <v>208</v>
      </c>
      <c r="F7" s="56"/>
      <c r="I7" s="161"/>
      <c r="J7" s="161"/>
      <c r="K7" s="161"/>
      <c r="L7" s="56"/>
      <c r="M7" s="56"/>
      <c r="N7" s="61"/>
      <c r="O7" s="17"/>
      <c r="P7" s="17"/>
      <c r="Q7" s="17"/>
      <c r="R7" s="56"/>
      <c r="S7" s="142"/>
      <c r="T7" s="142"/>
      <c r="U7" s="142"/>
      <c r="V7" s="142"/>
      <c r="W7" s="142"/>
      <c r="X7" s="142"/>
      <c r="Y7" s="142"/>
    </row>
    <row r="8" spans="1:28" ht="15" customHeight="1" hidden="1" thickBot="1">
      <c r="A8" s="199"/>
      <c r="F8" s="84"/>
      <c r="I8" s="161"/>
      <c r="J8" s="161"/>
      <c r="K8" s="161"/>
      <c r="L8" s="56"/>
      <c r="M8" s="56"/>
      <c r="N8" s="88"/>
      <c r="O8" s="39"/>
      <c r="P8" s="39"/>
      <c r="Q8" s="39"/>
      <c r="R8" s="56"/>
      <c r="S8" s="142"/>
      <c r="T8" s="142"/>
      <c r="U8" s="142"/>
      <c r="V8" s="142"/>
      <c r="W8" s="142"/>
      <c r="X8" s="142"/>
      <c r="Y8" s="142"/>
      <c r="AA8" s="58"/>
      <c r="AB8" s="58"/>
    </row>
    <row r="9" spans="1:28" ht="22.5" customHeight="1" hidden="1" thickBot="1">
      <c r="A9" s="123" t="s">
        <v>166</v>
      </c>
      <c r="B9" s="124">
        <v>1453</v>
      </c>
      <c r="C9" s="146"/>
      <c r="D9" s="85"/>
      <c r="E9" s="88"/>
      <c r="F9" s="88"/>
      <c r="G9" s="200"/>
      <c r="H9" s="200"/>
      <c r="I9" s="200"/>
      <c r="J9" s="129"/>
      <c r="K9" s="88"/>
      <c r="L9" s="39"/>
      <c r="M9" s="39"/>
      <c r="N9" s="39"/>
      <c r="O9" s="39"/>
      <c r="P9" s="39"/>
      <c r="Q9" s="39"/>
      <c r="R9" s="57"/>
      <c r="S9" s="142"/>
      <c r="T9" s="142"/>
      <c r="U9" s="142"/>
      <c r="V9" s="142"/>
      <c r="W9" s="142"/>
      <c r="X9" s="142"/>
      <c r="Y9" s="142"/>
      <c r="AA9" s="39"/>
      <c r="AB9" s="39"/>
    </row>
    <row r="10" spans="1:28" ht="19.5" customHeight="1" hidden="1" thickBot="1">
      <c r="A10" s="125" t="s">
        <v>186</v>
      </c>
      <c r="B10" s="124">
        <v>218</v>
      </c>
      <c r="C10" s="146"/>
      <c r="D10" s="85"/>
      <c r="E10" s="88"/>
      <c r="F10" s="88"/>
      <c r="G10" s="200"/>
      <c r="H10" s="200"/>
      <c r="I10" s="200"/>
      <c r="J10" s="129"/>
      <c r="K10" s="88"/>
      <c r="L10" s="39"/>
      <c r="M10" s="39"/>
      <c r="N10" s="17"/>
      <c r="O10" s="17"/>
      <c r="P10" s="17"/>
      <c r="Q10" s="17"/>
      <c r="R10" s="57"/>
      <c r="S10" s="142"/>
      <c r="T10" s="142"/>
      <c r="U10" s="142"/>
      <c r="V10" s="142"/>
      <c r="W10" s="142"/>
      <c r="X10" s="142"/>
      <c r="Y10" s="142"/>
      <c r="AA10" s="39"/>
      <c r="AB10" s="39"/>
    </row>
    <row r="11" spans="1:28" ht="23.25" customHeight="1" hidden="1" thickBot="1">
      <c r="A11" s="125" t="s">
        <v>187</v>
      </c>
      <c r="B11" s="124">
        <v>0</v>
      </c>
      <c r="C11" s="146"/>
      <c r="D11" s="85"/>
      <c r="E11" s="88"/>
      <c r="F11" s="88"/>
      <c r="G11" s="130"/>
      <c r="H11" s="61"/>
      <c r="I11" s="61"/>
      <c r="J11" s="61"/>
      <c r="K11" s="61"/>
      <c r="S11" s="142"/>
      <c r="T11" s="142"/>
      <c r="U11" s="142"/>
      <c r="V11" s="142"/>
      <c r="W11" s="142"/>
      <c r="X11" s="142"/>
      <c r="Y11" s="142"/>
      <c r="AB11" s="58"/>
    </row>
    <row r="12" spans="1:31" ht="23.25" customHeight="1" hidden="1" thickBot="1">
      <c r="A12" s="125" t="s">
        <v>188</v>
      </c>
      <c r="B12" s="124">
        <v>451</v>
      </c>
      <c r="C12" s="146"/>
      <c r="D12" s="85"/>
      <c r="E12" s="88"/>
      <c r="F12" s="88"/>
      <c r="G12" s="200"/>
      <c r="H12" s="200"/>
      <c r="I12" s="200"/>
      <c r="J12" s="129"/>
      <c r="K12" s="57"/>
      <c r="L12" s="56"/>
      <c r="M12" s="56"/>
      <c r="N12" s="59"/>
      <c r="O12" s="59"/>
      <c r="P12" s="59"/>
      <c r="Q12" s="59"/>
      <c r="R12" s="59"/>
      <c r="S12" s="142"/>
      <c r="T12" s="142"/>
      <c r="U12" s="142"/>
      <c r="V12" s="142"/>
      <c r="W12" s="142"/>
      <c r="X12" s="142"/>
      <c r="Y12" s="142"/>
      <c r="AB12" s="184"/>
      <c r="AC12" s="184"/>
      <c r="AD12" s="184"/>
      <c r="AE12" s="184"/>
    </row>
    <row r="13" spans="1:28" ht="23.25" customHeight="1" hidden="1" thickBot="1">
      <c r="A13" s="123" t="s">
        <v>211</v>
      </c>
      <c r="B13" s="126">
        <v>0</v>
      </c>
      <c r="C13" s="146"/>
      <c r="D13" s="85"/>
      <c r="E13" s="88"/>
      <c r="F13" s="88"/>
      <c r="G13" s="61"/>
      <c r="H13" s="61"/>
      <c r="I13" s="161"/>
      <c r="J13" s="161"/>
      <c r="K13" s="161"/>
      <c r="L13" s="56"/>
      <c r="M13" s="56"/>
      <c r="N13" s="60"/>
      <c r="O13" s="60"/>
      <c r="P13" s="60"/>
      <c r="Q13" s="60"/>
      <c r="R13" s="60"/>
      <c r="S13" s="142"/>
      <c r="T13" s="142"/>
      <c r="U13" s="142"/>
      <c r="V13" s="142"/>
      <c r="W13" s="142"/>
      <c r="X13" s="142"/>
      <c r="Y13" s="142"/>
      <c r="AB13" s="1"/>
    </row>
    <row r="14" spans="1:28" ht="23.25" customHeight="1" hidden="1" thickBot="1">
      <c r="A14" s="125" t="s">
        <v>176</v>
      </c>
      <c r="B14" s="127">
        <v>0.38</v>
      </c>
      <c r="C14" s="146"/>
      <c r="D14" s="85"/>
      <c r="E14" s="88"/>
      <c r="F14" s="88"/>
      <c r="G14" s="61"/>
      <c r="H14" s="61"/>
      <c r="I14" s="56"/>
      <c r="J14" s="56"/>
      <c r="K14" s="56"/>
      <c r="L14" s="56"/>
      <c r="M14" s="56"/>
      <c r="N14" s="60"/>
      <c r="O14" s="60"/>
      <c r="P14" s="60"/>
      <c r="Q14" s="60"/>
      <c r="R14" s="60"/>
      <c r="S14" s="142"/>
      <c r="T14" s="142"/>
      <c r="U14" s="142"/>
      <c r="V14" s="142"/>
      <c r="W14" s="142"/>
      <c r="X14" s="142"/>
      <c r="Y14" s="142"/>
      <c r="AB14" s="1"/>
    </row>
    <row r="15" spans="1:28" ht="25.5" customHeight="1" hidden="1" thickBot="1">
      <c r="A15" s="125" t="s">
        <v>177</v>
      </c>
      <c r="B15" s="127">
        <v>0.25</v>
      </c>
      <c r="C15" s="146"/>
      <c r="D15" s="85"/>
      <c r="E15" s="39"/>
      <c r="F15" s="39"/>
      <c r="I15" s="56"/>
      <c r="J15" s="56"/>
      <c r="K15" s="56"/>
      <c r="L15" s="56"/>
      <c r="M15" s="56"/>
      <c r="N15" s="60"/>
      <c r="O15" s="60"/>
      <c r="P15" s="60"/>
      <c r="Q15" s="60"/>
      <c r="R15" s="60"/>
      <c r="S15" s="142"/>
      <c r="T15" s="142"/>
      <c r="U15" s="142"/>
      <c r="V15" s="142"/>
      <c r="W15" s="142"/>
      <c r="X15" s="142"/>
      <c r="Y15" s="142"/>
      <c r="AB15" s="1"/>
    </row>
    <row r="16" spans="1:28" ht="22.5" customHeight="1" hidden="1" thickBot="1">
      <c r="A16" s="125" t="s">
        <v>178</v>
      </c>
      <c r="B16" s="127">
        <v>0.46</v>
      </c>
      <c r="C16" s="146"/>
      <c r="D16" s="85"/>
      <c r="E16" s="39"/>
      <c r="F16" s="39"/>
      <c r="I16" s="56"/>
      <c r="J16" s="56"/>
      <c r="K16" s="56"/>
      <c r="L16" s="56"/>
      <c r="M16" s="56"/>
      <c r="N16" s="60"/>
      <c r="O16" s="60"/>
      <c r="P16" s="60"/>
      <c r="Q16" s="60"/>
      <c r="R16" s="60"/>
      <c r="S16" s="142"/>
      <c r="T16" s="142"/>
      <c r="U16" s="142"/>
      <c r="V16" s="142"/>
      <c r="W16" s="142"/>
      <c r="X16" s="142"/>
      <c r="Y16" s="142"/>
      <c r="AB16" s="1"/>
    </row>
    <row r="17" spans="1:28" ht="26.25" customHeight="1" hidden="1" thickBot="1">
      <c r="A17" s="123" t="s">
        <v>179</v>
      </c>
      <c r="B17" s="128">
        <v>0.7</v>
      </c>
      <c r="C17" s="146"/>
      <c r="D17" s="85"/>
      <c r="E17" s="39"/>
      <c r="F17" s="39"/>
      <c r="I17" s="89"/>
      <c r="J17" s="89"/>
      <c r="K17" s="57"/>
      <c r="L17" s="57"/>
      <c r="M17" s="57"/>
      <c r="N17" s="60"/>
      <c r="O17" s="60"/>
      <c r="P17" s="60"/>
      <c r="Q17" s="60"/>
      <c r="R17" s="60"/>
      <c r="S17" s="142"/>
      <c r="T17" s="142"/>
      <c r="U17" s="142"/>
      <c r="V17" s="142"/>
      <c r="W17" s="142"/>
      <c r="X17" s="142"/>
      <c r="Y17" s="142"/>
      <c r="AB17" s="1"/>
    </row>
    <row r="18" spans="1:28" ht="23.25" customHeight="1" hidden="1" thickBot="1">
      <c r="A18" s="123" t="s">
        <v>205</v>
      </c>
      <c r="B18" s="126">
        <v>110</v>
      </c>
      <c r="C18" s="147"/>
      <c r="I18" s="60"/>
      <c r="J18" s="60"/>
      <c r="K18" s="60"/>
      <c r="L18" s="60"/>
      <c r="M18" s="60"/>
      <c r="N18" s="90"/>
      <c r="O18" s="60"/>
      <c r="P18" s="60"/>
      <c r="Q18" s="60"/>
      <c r="R18" s="60"/>
      <c r="S18" s="142"/>
      <c r="T18" s="142"/>
      <c r="U18" s="142"/>
      <c r="V18" s="142"/>
      <c r="W18" s="142"/>
      <c r="X18" s="142"/>
      <c r="Y18" s="142"/>
      <c r="AB18" s="1"/>
    </row>
    <row r="19" spans="1:28" ht="23.25" customHeight="1" hidden="1" thickBot="1">
      <c r="A19" s="141" t="s">
        <v>226</v>
      </c>
      <c r="B19" s="140">
        <v>255</v>
      </c>
      <c r="C19" s="147"/>
      <c r="I19" s="60"/>
      <c r="J19" s="60"/>
      <c r="K19" s="60"/>
      <c r="L19" s="60"/>
      <c r="M19" s="60"/>
      <c r="N19" s="90"/>
      <c r="O19" s="60"/>
      <c r="P19" s="60"/>
      <c r="Q19" s="60"/>
      <c r="R19" s="60"/>
      <c r="S19" s="142"/>
      <c r="T19" s="142"/>
      <c r="U19" s="142"/>
      <c r="V19" s="142"/>
      <c r="W19" s="142"/>
      <c r="X19" s="142"/>
      <c r="Y19" s="142"/>
      <c r="AB19" s="1"/>
    </row>
    <row r="20" spans="1:28" ht="28.5" customHeight="1" hidden="1" thickBot="1">
      <c r="A20" s="144" t="s">
        <v>227</v>
      </c>
      <c r="B20" s="140">
        <v>0</v>
      </c>
      <c r="I20" s="60"/>
      <c r="J20" s="60"/>
      <c r="K20" s="60"/>
      <c r="L20" s="60"/>
      <c r="M20" s="60"/>
      <c r="N20" s="90"/>
      <c r="O20" s="60"/>
      <c r="P20" s="60"/>
      <c r="Q20" s="60"/>
      <c r="R20" s="60"/>
      <c r="S20" s="142"/>
      <c r="T20" s="142"/>
      <c r="U20" s="142"/>
      <c r="V20" s="142"/>
      <c r="W20" s="142"/>
      <c r="X20" s="142"/>
      <c r="Y20" s="142"/>
      <c r="AB20" s="1"/>
    </row>
    <row r="21" spans="9:28" ht="19.5" customHeight="1" thickBot="1">
      <c r="I21" s="132" t="s">
        <v>180</v>
      </c>
      <c r="J21" s="93"/>
      <c r="K21" s="185" t="s">
        <v>181</v>
      </c>
      <c r="L21" s="186"/>
      <c r="M21" s="187"/>
      <c r="N21" s="60"/>
      <c r="O21" s="60"/>
      <c r="P21" s="60"/>
      <c r="Q21" s="60"/>
      <c r="R21" s="60"/>
      <c r="S21" s="142"/>
      <c r="T21" s="142"/>
      <c r="U21" s="142"/>
      <c r="V21" s="142"/>
      <c r="W21" s="142"/>
      <c r="X21" s="142"/>
      <c r="Y21" s="142"/>
      <c r="AB21" s="1"/>
    </row>
    <row r="22" spans="1:28" ht="19.5" customHeight="1" thickBot="1">
      <c r="A22" s="201" t="s">
        <v>228</v>
      </c>
      <c r="B22" s="202"/>
      <c r="C22" s="202"/>
      <c r="D22" s="202"/>
      <c r="E22" s="202"/>
      <c r="F22" s="202"/>
      <c r="G22" s="203"/>
      <c r="H22" s="73"/>
      <c r="I22" s="39"/>
      <c r="J22" s="94"/>
      <c r="K22" s="185" t="s">
        <v>182</v>
      </c>
      <c r="L22" s="186"/>
      <c r="M22" s="187"/>
      <c r="N22" s="60"/>
      <c r="P22" s="60"/>
      <c r="Q22" s="60"/>
      <c r="R22" s="60"/>
      <c r="S22" s="142"/>
      <c r="T22" s="142"/>
      <c r="U22" s="142"/>
      <c r="V22" s="142"/>
      <c r="W22" s="142"/>
      <c r="X22" s="142"/>
      <c r="Y22" s="142"/>
      <c r="Z22" s="60"/>
      <c r="AA22" s="60"/>
      <c r="AB22" s="1"/>
    </row>
    <row r="23" spans="1:25" ht="19.5" customHeight="1" thickBot="1">
      <c r="A23" s="204"/>
      <c r="B23" s="205"/>
      <c r="C23" s="205"/>
      <c r="D23" s="205"/>
      <c r="E23" s="205"/>
      <c r="F23" s="205"/>
      <c r="G23" s="206"/>
      <c r="H23" s="73"/>
      <c r="I23" s="39"/>
      <c r="J23" s="96"/>
      <c r="K23" s="97" t="s">
        <v>183</v>
      </c>
      <c r="L23" s="91"/>
      <c r="M23" s="92"/>
      <c r="S23" s="142"/>
      <c r="T23" s="142"/>
      <c r="U23" s="142"/>
      <c r="V23" s="142"/>
      <c r="W23" s="142"/>
      <c r="X23" s="142"/>
      <c r="Y23" s="142"/>
    </row>
    <row r="24" spans="1:25" ht="19.5" customHeight="1" thickBot="1">
      <c r="A24" s="145"/>
      <c r="B24" s="145"/>
      <c r="C24" s="145"/>
      <c r="D24" s="145"/>
      <c r="E24" s="145"/>
      <c r="F24" s="145"/>
      <c r="G24" s="145"/>
      <c r="H24" s="73"/>
      <c r="I24" s="39"/>
      <c r="J24" s="95"/>
      <c r="K24" s="185" t="s">
        <v>184</v>
      </c>
      <c r="L24" s="186"/>
      <c r="M24" s="187"/>
      <c r="S24" s="188" t="s">
        <v>225</v>
      </c>
      <c r="T24" s="189"/>
      <c r="U24" s="189"/>
      <c r="V24" s="189"/>
      <c r="W24" s="189"/>
      <c r="X24" s="189"/>
      <c r="Y24" s="190"/>
    </row>
    <row r="25" spans="1:25" ht="13.5" customHeight="1">
      <c r="A25" s="145"/>
      <c r="B25" s="145"/>
      <c r="C25" s="145"/>
      <c r="D25" s="145"/>
      <c r="E25" s="145"/>
      <c r="F25" s="145"/>
      <c r="G25" s="145"/>
      <c r="H25" s="73"/>
      <c r="S25" s="191"/>
      <c r="T25" s="192"/>
      <c r="U25" s="192"/>
      <c r="V25" s="192"/>
      <c r="W25" s="192"/>
      <c r="X25" s="192"/>
      <c r="Y25" s="193"/>
    </row>
    <row r="26" spans="2:28" ht="18.75" customHeight="1" thickBot="1">
      <c r="B26" s="17"/>
      <c r="C26" s="17"/>
      <c r="D26" s="17"/>
      <c r="S26" s="194"/>
      <c r="T26" s="195"/>
      <c r="U26" s="195"/>
      <c r="V26" s="195"/>
      <c r="W26" s="195"/>
      <c r="X26" s="195"/>
      <c r="Y26" s="196"/>
      <c r="Z26" s="17"/>
      <c r="AA26" s="58"/>
      <c r="AB26" s="58"/>
    </row>
    <row r="27" spans="1:28" ht="27.75" customHeight="1" thickBot="1">
      <c r="A27" s="178" t="s">
        <v>0</v>
      </c>
      <c r="B27" s="175" t="s">
        <v>159</v>
      </c>
      <c r="C27" s="177"/>
      <c r="D27" s="162" t="s">
        <v>144</v>
      </c>
      <c r="E27" s="162" t="s">
        <v>214</v>
      </c>
      <c r="F27" s="178" t="s">
        <v>162</v>
      </c>
      <c r="G27" s="162" t="s">
        <v>158</v>
      </c>
      <c r="H27" s="178" t="s">
        <v>209</v>
      </c>
      <c r="I27" s="162" t="s">
        <v>223</v>
      </c>
      <c r="J27" s="162" t="s">
        <v>157</v>
      </c>
      <c r="K27" s="181" t="s">
        <v>220</v>
      </c>
      <c r="L27" s="181" t="s">
        <v>221</v>
      </c>
      <c r="M27" s="181" t="s">
        <v>170</v>
      </c>
      <c r="N27" s="162" t="s">
        <v>175</v>
      </c>
      <c r="O27" s="162" t="s">
        <v>165</v>
      </c>
      <c r="P27" s="162" t="s">
        <v>46</v>
      </c>
      <c r="Q27" s="162" t="s">
        <v>218</v>
      </c>
      <c r="R27" s="162" t="s">
        <v>151</v>
      </c>
      <c r="S27" s="175" t="s">
        <v>102</v>
      </c>
      <c r="T27" s="176"/>
      <c r="U27" s="177"/>
      <c r="V27" s="162" t="s">
        <v>103</v>
      </c>
      <c r="W27" s="178" t="s">
        <v>226</v>
      </c>
      <c r="X27" s="178" t="s">
        <v>227</v>
      </c>
      <c r="Y27" s="162" t="s">
        <v>153</v>
      </c>
      <c r="Z27" s="162" t="s">
        <v>104</v>
      </c>
      <c r="AA27" s="165" t="s">
        <v>156</v>
      </c>
      <c r="AB27" s="168" t="s">
        <v>154</v>
      </c>
    </row>
    <row r="28" spans="1:28" s="2" customFormat="1" ht="42.75" customHeight="1" thickBot="1">
      <c r="A28" s="179"/>
      <c r="B28" s="162" t="s">
        <v>160</v>
      </c>
      <c r="C28" s="162" t="s">
        <v>161</v>
      </c>
      <c r="D28" s="163"/>
      <c r="E28" s="163"/>
      <c r="F28" s="179"/>
      <c r="G28" s="163"/>
      <c r="H28" s="179"/>
      <c r="I28" s="163"/>
      <c r="J28" s="163"/>
      <c r="K28" s="182"/>
      <c r="L28" s="182"/>
      <c r="M28" s="182"/>
      <c r="N28" s="163"/>
      <c r="O28" s="163"/>
      <c r="P28" s="163"/>
      <c r="Q28" s="163"/>
      <c r="R28" s="163"/>
      <c r="S28" s="118" t="s">
        <v>152</v>
      </c>
      <c r="T28" s="118" t="s">
        <v>101</v>
      </c>
      <c r="U28" s="119" t="s">
        <v>210</v>
      </c>
      <c r="V28" s="163"/>
      <c r="W28" s="179"/>
      <c r="X28" s="179"/>
      <c r="Y28" s="163"/>
      <c r="Z28" s="163"/>
      <c r="AA28" s="166"/>
      <c r="AB28" s="169"/>
    </row>
    <row r="29" spans="1:28" ht="30.75" customHeight="1" thickBot="1">
      <c r="A29" s="179"/>
      <c r="B29" s="163"/>
      <c r="C29" s="163"/>
      <c r="D29" s="164"/>
      <c r="E29" s="164"/>
      <c r="F29" s="180"/>
      <c r="G29" s="164"/>
      <c r="H29" s="180"/>
      <c r="I29" s="164"/>
      <c r="J29" s="164"/>
      <c r="K29" s="183"/>
      <c r="L29" s="183"/>
      <c r="M29" s="183"/>
      <c r="N29" s="164"/>
      <c r="O29" s="164"/>
      <c r="P29" s="164"/>
      <c r="Q29" s="164"/>
      <c r="R29" s="163"/>
      <c r="S29" s="171">
        <v>0.16</v>
      </c>
      <c r="T29" s="171">
        <v>0.03</v>
      </c>
      <c r="U29" s="173">
        <v>0.045</v>
      </c>
      <c r="V29" s="163"/>
      <c r="W29" s="179"/>
      <c r="X29" s="180"/>
      <c r="Y29" s="164"/>
      <c r="Z29" s="163"/>
      <c r="AA29" s="167"/>
      <c r="AB29" s="169"/>
    </row>
    <row r="30" spans="1:28" ht="30" customHeight="1" thickBot="1">
      <c r="A30" s="180"/>
      <c r="B30" s="164"/>
      <c r="C30" s="164"/>
      <c r="D30" s="122"/>
      <c r="E30" s="117" t="s">
        <v>203</v>
      </c>
      <c r="F30" s="117" t="s">
        <v>204</v>
      </c>
      <c r="G30" s="117" t="s">
        <v>168</v>
      </c>
      <c r="H30" s="122" t="s">
        <v>215</v>
      </c>
      <c r="I30" s="117" t="s">
        <v>212</v>
      </c>
      <c r="J30" s="117" t="s">
        <v>213</v>
      </c>
      <c r="K30" s="117" t="s">
        <v>222</v>
      </c>
      <c r="L30" s="120" t="s">
        <v>169</v>
      </c>
      <c r="M30" s="121">
        <v>100</v>
      </c>
      <c r="N30" s="117" t="s">
        <v>167</v>
      </c>
      <c r="O30" s="120" t="s">
        <v>185</v>
      </c>
      <c r="P30" s="120" t="s">
        <v>171</v>
      </c>
      <c r="Q30" s="117" t="s">
        <v>173</v>
      </c>
      <c r="R30" s="164"/>
      <c r="S30" s="172"/>
      <c r="T30" s="172"/>
      <c r="U30" s="174"/>
      <c r="V30" s="164"/>
      <c r="W30" s="180"/>
      <c r="X30" s="139" t="s">
        <v>211</v>
      </c>
      <c r="Y30" s="117" t="s">
        <v>172</v>
      </c>
      <c r="Z30" s="164"/>
      <c r="AA30" s="117" t="s">
        <v>174</v>
      </c>
      <c r="AB30" s="170"/>
    </row>
    <row r="31" spans="1:28" ht="19.5" customHeight="1">
      <c r="A31" s="155" t="s">
        <v>105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7"/>
    </row>
    <row r="32" spans="1:28" ht="19.5" customHeight="1">
      <c r="A32" s="131" t="s">
        <v>206</v>
      </c>
      <c r="B32" s="110">
        <v>0</v>
      </c>
      <c r="C32" s="110"/>
      <c r="D32" s="102">
        <v>3</v>
      </c>
      <c r="E32" s="101">
        <f aca="true" t="shared" si="0" ref="E32:E74">D32*$B$9</f>
        <v>4359</v>
      </c>
      <c r="F32" s="101">
        <f>LOOKUP(B32,'Tabla ANTIG'!$B$5:$B$29,'Tabla ANTIG'!$C$5:$C$29)*E32</f>
        <v>435.90000000000003</v>
      </c>
      <c r="G32" s="111">
        <f aca="true" t="shared" si="1" ref="G32:G74">$B$11</f>
        <v>0</v>
      </c>
      <c r="H32" s="101">
        <f>LOOKUP(B32,'Tabla ANTIG'!$B$5:$B$29,'Tabla ANTIG'!$C$5:$C$29)*G32</f>
        <v>0</v>
      </c>
      <c r="I32" s="101">
        <f aca="true" t="shared" si="2" ref="I32:I74">$B$12</f>
        <v>451</v>
      </c>
      <c r="J32" s="101">
        <f aca="true" t="shared" si="3" ref="J32:J74">$B$13</f>
        <v>0</v>
      </c>
      <c r="K32" s="101">
        <f>$B$9*$B$14</f>
        <v>552.14</v>
      </c>
      <c r="L32" s="101">
        <v>0</v>
      </c>
      <c r="M32" s="101">
        <v>0</v>
      </c>
      <c r="N32" s="104">
        <f aca="true" t="shared" si="4" ref="N32:N63">$B$10</f>
        <v>218</v>
      </c>
      <c r="O32" s="101">
        <f>LOOKUP(B32,'Tabla ANTIG'!$B$5:$B$29,'Tabla ANTIG'!$C$5:$C$29)*N32</f>
        <v>21.8</v>
      </c>
      <c r="P32" s="101">
        <v>0</v>
      </c>
      <c r="Q32" s="104">
        <f aca="true" t="shared" si="5" ref="Q32:Q65">+IF(((E32+F32+K32+N32)-((E32+F32+K32+N32)*0.19))&gt;730,0,730-((E32+F32+K32+N32)-((E32+F32+K32+N32)*0.19)))/0.81</f>
        <v>0</v>
      </c>
      <c r="R32" s="112">
        <f aca="true" t="shared" si="6" ref="R32:R74">SUM(E32:Q32)</f>
        <v>6037.84</v>
      </c>
      <c r="S32" s="98">
        <f aca="true" t="shared" si="7" ref="S32:S71">R32*$S$29</f>
        <v>966.0544</v>
      </c>
      <c r="T32" s="98">
        <f>R32*$T$29</f>
        <v>181.1352</v>
      </c>
      <c r="U32" s="98">
        <v>0</v>
      </c>
      <c r="V32" s="98">
        <f>SUM(S32:U32)</f>
        <v>1147.1896</v>
      </c>
      <c r="W32" s="143">
        <f>$B$19</f>
        <v>255</v>
      </c>
      <c r="X32" s="143">
        <f>$B$20</f>
        <v>0</v>
      </c>
      <c r="Y32" s="99">
        <f aca="true" t="shared" si="8" ref="Y32:Y95">$B$18</f>
        <v>110</v>
      </c>
      <c r="Z32" s="100">
        <f>R32-V32+W32+Y32+X32</f>
        <v>5255.6504</v>
      </c>
      <c r="AA32" s="113">
        <f aca="true" t="shared" si="9" ref="AA32:AA64">IF(((E32+K32+N32+Q32)-((E32+K32+N32+Q32)*0.19))&gt;930,0,930-((E32+K32+N32+Q32)-((E32+K32+N32+Q32)*0.19)))</f>
        <v>0</v>
      </c>
      <c r="AB32" s="114">
        <f aca="true" t="shared" si="10" ref="AB32:AB74">SUM(Z32:AA32)</f>
        <v>5255.6504</v>
      </c>
    </row>
    <row r="33" spans="1:28" ht="19.5" customHeight="1">
      <c r="A33" s="109" t="s">
        <v>107</v>
      </c>
      <c r="B33" s="110">
        <v>0</v>
      </c>
      <c r="C33" s="110"/>
      <c r="D33" s="102">
        <v>2.4</v>
      </c>
      <c r="E33" s="101">
        <f t="shared" si="0"/>
        <v>3487.2</v>
      </c>
      <c r="F33" s="101">
        <f>LOOKUP(B33,'Tabla ANTIG'!$B$5:$B$29,'Tabla ANTIG'!$C$5:$C$29)*E33</f>
        <v>348.72</v>
      </c>
      <c r="G33" s="111">
        <f t="shared" si="1"/>
        <v>0</v>
      </c>
      <c r="H33" s="101">
        <f>LOOKUP(B33,'Tabla ANTIG'!$B$5:$B$29,'Tabla ANTIG'!$C$5:$C$29)*G33</f>
        <v>0</v>
      </c>
      <c r="I33" s="101">
        <f t="shared" si="2"/>
        <v>451</v>
      </c>
      <c r="J33" s="101">
        <f t="shared" si="3"/>
        <v>0</v>
      </c>
      <c r="K33" s="101">
        <f aca="true" t="shared" si="11" ref="K33:K65">$B$9*$B$14</f>
        <v>552.14</v>
      </c>
      <c r="L33" s="101">
        <v>0</v>
      </c>
      <c r="M33" s="101">
        <v>0</v>
      </c>
      <c r="N33" s="104">
        <f t="shared" si="4"/>
        <v>218</v>
      </c>
      <c r="O33" s="101">
        <f>LOOKUP(B33,'Tabla ANTIG'!$B$5:$B$29,'Tabla ANTIG'!$C$5:$C$29)*N33</f>
        <v>21.8</v>
      </c>
      <c r="P33" s="101">
        <v>0</v>
      </c>
      <c r="Q33" s="104">
        <f t="shared" si="5"/>
        <v>0</v>
      </c>
      <c r="R33" s="112">
        <f t="shared" si="6"/>
        <v>5078.860000000001</v>
      </c>
      <c r="S33" s="98">
        <f t="shared" si="7"/>
        <v>812.6176000000002</v>
      </c>
      <c r="T33" s="98">
        <f aca="true" t="shared" si="12" ref="T33:T71">R33*$T$29</f>
        <v>152.3658</v>
      </c>
      <c r="U33" s="98">
        <v>0</v>
      </c>
      <c r="V33" s="98">
        <f aca="true" t="shared" si="13" ref="V33:V71">SUM(S33:U33)</f>
        <v>964.9834000000002</v>
      </c>
      <c r="W33" s="143">
        <f aca="true" t="shared" si="14" ref="W33:W86">$B$19</f>
        <v>255</v>
      </c>
      <c r="X33" s="143">
        <f aca="true" t="shared" si="15" ref="X33:X74">$B$20</f>
        <v>0</v>
      </c>
      <c r="Y33" s="99">
        <f t="shared" si="8"/>
        <v>110</v>
      </c>
      <c r="Z33" s="100">
        <f>R33-V33+W33+Y33+X33</f>
        <v>4478.8766000000005</v>
      </c>
      <c r="AA33" s="113">
        <f t="shared" si="9"/>
        <v>0</v>
      </c>
      <c r="AB33" s="114">
        <f t="shared" si="10"/>
        <v>4478.8766000000005</v>
      </c>
    </row>
    <row r="34" spans="1:28" ht="19.5" customHeight="1">
      <c r="A34" s="109" t="s">
        <v>106</v>
      </c>
      <c r="B34" s="110">
        <v>0</v>
      </c>
      <c r="C34" s="110"/>
      <c r="D34" s="102">
        <v>2.28</v>
      </c>
      <c r="E34" s="101">
        <f t="shared" si="0"/>
        <v>3312.8399999999997</v>
      </c>
      <c r="F34" s="101">
        <f>LOOKUP(B34,'Tabla ANTIG'!$B$5:$B$29,'Tabla ANTIG'!$C$5:$C$29)*E34</f>
        <v>331.284</v>
      </c>
      <c r="G34" s="111">
        <f t="shared" si="1"/>
        <v>0</v>
      </c>
      <c r="H34" s="101">
        <f>LOOKUP(B34,'Tabla ANTIG'!$B$5:$B$29,'Tabla ANTIG'!$C$5:$C$29)*G34</f>
        <v>0</v>
      </c>
      <c r="I34" s="101">
        <f t="shared" si="2"/>
        <v>451</v>
      </c>
      <c r="J34" s="101">
        <f t="shared" si="3"/>
        <v>0</v>
      </c>
      <c r="K34" s="101">
        <f t="shared" si="11"/>
        <v>552.14</v>
      </c>
      <c r="L34" s="101">
        <v>0</v>
      </c>
      <c r="M34" s="101">
        <v>0</v>
      </c>
      <c r="N34" s="104">
        <f t="shared" si="4"/>
        <v>218</v>
      </c>
      <c r="O34" s="101">
        <f>LOOKUP(B34,'Tabla ANTIG'!$B$5:$B$29,'Tabla ANTIG'!$C$5:$C$29)*N34</f>
        <v>21.8</v>
      </c>
      <c r="P34" s="101">
        <v>0</v>
      </c>
      <c r="Q34" s="104">
        <f t="shared" si="5"/>
        <v>0</v>
      </c>
      <c r="R34" s="112">
        <f t="shared" si="6"/>
        <v>4887.064</v>
      </c>
      <c r="S34" s="98">
        <f t="shared" si="7"/>
        <v>781.93024</v>
      </c>
      <c r="T34" s="98">
        <f t="shared" si="12"/>
        <v>146.61192</v>
      </c>
      <c r="U34" s="98">
        <v>0</v>
      </c>
      <c r="V34" s="98">
        <f t="shared" si="13"/>
        <v>928.54216</v>
      </c>
      <c r="W34" s="143">
        <f t="shared" si="14"/>
        <v>255</v>
      </c>
      <c r="X34" s="143">
        <f t="shared" si="15"/>
        <v>0</v>
      </c>
      <c r="Y34" s="99">
        <f t="shared" si="8"/>
        <v>110</v>
      </c>
      <c r="Z34" s="100">
        <f>R34-V34+W34+Y34+X34</f>
        <v>4323.52184</v>
      </c>
      <c r="AA34" s="113">
        <f t="shared" si="9"/>
        <v>0</v>
      </c>
      <c r="AB34" s="114">
        <f t="shared" si="10"/>
        <v>4323.52184</v>
      </c>
    </row>
    <row r="35" spans="1:28" ht="19.5" customHeight="1">
      <c r="A35" s="109" t="s">
        <v>108</v>
      </c>
      <c r="B35" s="110">
        <v>0</v>
      </c>
      <c r="C35" s="110"/>
      <c r="D35" s="102">
        <v>2.16</v>
      </c>
      <c r="E35" s="101">
        <f t="shared" si="0"/>
        <v>3138.48</v>
      </c>
      <c r="F35" s="101">
        <f>LOOKUP(B35,'Tabla ANTIG'!$B$5:$B$29,'Tabla ANTIG'!$C$5:$C$29)*E35</f>
        <v>313.848</v>
      </c>
      <c r="G35" s="111">
        <f t="shared" si="1"/>
        <v>0</v>
      </c>
      <c r="H35" s="101">
        <f>LOOKUP(B35,'Tabla ANTIG'!$B$5:$B$29,'Tabla ANTIG'!$C$5:$C$29)*G35</f>
        <v>0</v>
      </c>
      <c r="I35" s="101">
        <f t="shared" si="2"/>
        <v>451</v>
      </c>
      <c r="J35" s="101">
        <f t="shared" si="3"/>
        <v>0</v>
      </c>
      <c r="K35" s="101">
        <f t="shared" si="11"/>
        <v>552.14</v>
      </c>
      <c r="L35" s="101">
        <v>0</v>
      </c>
      <c r="M35" s="101">
        <v>0</v>
      </c>
      <c r="N35" s="104">
        <f t="shared" si="4"/>
        <v>218</v>
      </c>
      <c r="O35" s="101">
        <f>LOOKUP(B35,'Tabla ANTIG'!$B$5:$B$29,'Tabla ANTIG'!$C$5:$C$29)*N35</f>
        <v>21.8</v>
      </c>
      <c r="P35" s="101">
        <v>0</v>
      </c>
      <c r="Q35" s="104">
        <f t="shared" si="5"/>
        <v>0</v>
      </c>
      <c r="R35" s="112">
        <f t="shared" si="6"/>
        <v>4695.268</v>
      </c>
      <c r="S35" s="98">
        <f t="shared" si="7"/>
        <v>751.24288</v>
      </c>
      <c r="T35" s="98">
        <f t="shared" si="12"/>
        <v>140.85804</v>
      </c>
      <c r="U35" s="98">
        <v>0</v>
      </c>
      <c r="V35" s="98">
        <f t="shared" si="13"/>
        <v>892.10092</v>
      </c>
      <c r="W35" s="143">
        <f t="shared" si="14"/>
        <v>255</v>
      </c>
      <c r="X35" s="143">
        <f t="shared" si="15"/>
        <v>0</v>
      </c>
      <c r="Y35" s="99">
        <f t="shared" si="8"/>
        <v>110</v>
      </c>
      <c r="Z35" s="100">
        <f aca="true" t="shared" si="16" ref="Z35:Z98">R35-V35+W35+Y35+X35</f>
        <v>4168.16708</v>
      </c>
      <c r="AA35" s="113">
        <f t="shared" si="9"/>
        <v>0</v>
      </c>
      <c r="AB35" s="114">
        <f t="shared" si="10"/>
        <v>4168.16708</v>
      </c>
    </row>
    <row r="36" spans="1:28" ht="19.5" customHeight="1">
      <c r="A36" s="109" t="s">
        <v>109</v>
      </c>
      <c r="B36" s="110">
        <v>0</v>
      </c>
      <c r="C36" s="110"/>
      <c r="D36" s="102">
        <v>2.1</v>
      </c>
      <c r="E36" s="101">
        <f t="shared" si="0"/>
        <v>3051.3</v>
      </c>
      <c r="F36" s="101">
        <f>LOOKUP(B36,'Tabla ANTIG'!$B$5:$B$29,'Tabla ANTIG'!$C$5:$C$29)*E36</f>
        <v>305.13000000000005</v>
      </c>
      <c r="G36" s="111">
        <f t="shared" si="1"/>
        <v>0</v>
      </c>
      <c r="H36" s="101">
        <f>LOOKUP(B36,'Tabla ANTIG'!$B$5:$B$29,'Tabla ANTIG'!$C$5:$C$29)*G36</f>
        <v>0</v>
      </c>
      <c r="I36" s="101">
        <f t="shared" si="2"/>
        <v>451</v>
      </c>
      <c r="J36" s="101">
        <f t="shared" si="3"/>
        <v>0</v>
      </c>
      <c r="K36" s="101">
        <f t="shared" si="11"/>
        <v>552.14</v>
      </c>
      <c r="L36" s="101">
        <v>0</v>
      </c>
      <c r="M36" s="101">
        <v>0</v>
      </c>
      <c r="N36" s="104">
        <f t="shared" si="4"/>
        <v>218</v>
      </c>
      <c r="O36" s="101">
        <f>LOOKUP(B36,'Tabla ANTIG'!$B$5:$B$29,'Tabla ANTIG'!$C$5:$C$29)*N36</f>
        <v>21.8</v>
      </c>
      <c r="P36" s="101">
        <v>0</v>
      </c>
      <c r="Q36" s="104">
        <f t="shared" si="5"/>
        <v>0</v>
      </c>
      <c r="R36" s="112">
        <f t="shared" si="6"/>
        <v>4599.370000000001</v>
      </c>
      <c r="S36" s="98">
        <f t="shared" si="7"/>
        <v>735.8992000000002</v>
      </c>
      <c r="T36" s="98">
        <f t="shared" si="12"/>
        <v>137.98110000000003</v>
      </c>
      <c r="U36" s="98">
        <v>0</v>
      </c>
      <c r="V36" s="98">
        <f t="shared" si="13"/>
        <v>873.8803000000003</v>
      </c>
      <c r="W36" s="143">
        <f t="shared" si="14"/>
        <v>255</v>
      </c>
      <c r="X36" s="143">
        <f t="shared" si="15"/>
        <v>0</v>
      </c>
      <c r="Y36" s="99">
        <f t="shared" si="8"/>
        <v>110</v>
      </c>
      <c r="Z36" s="100">
        <f>R36-V36+W36+Y36+X36</f>
        <v>4090.4897000000005</v>
      </c>
      <c r="AA36" s="113">
        <f t="shared" si="9"/>
        <v>0</v>
      </c>
      <c r="AB36" s="114">
        <f t="shared" si="10"/>
        <v>4090.4897000000005</v>
      </c>
    </row>
    <row r="37" spans="1:28" ht="19.5" customHeight="1">
      <c r="A37" s="109" t="s">
        <v>110</v>
      </c>
      <c r="B37" s="110">
        <v>0</v>
      </c>
      <c r="C37" s="110"/>
      <c r="D37" s="102">
        <v>2.7</v>
      </c>
      <c r="E37" s="101">
        <f t="shared" si="0"/>
        <v>3923.1000000000004</v>
      </c>
      <c r="F37" s="101">
        <f>LOOKUP(B37,'Tabla ANTIG'!$B$5:$B$29,'Tabla ANTIG'!$C$5:$C$29)*E37</f>
        <v>392.31000000000006</v>
      </c>
      <c r="G37" s="111">
        <f t="shared" si="1"/>
        <v>0</v>
      </c>
      <c r="H37" s="101">
        <f>LOOKUP(B37,'Tabla ANTIG'!$B$5:$B$29,'Tabla ANTIG'!$C$5:$C$29)*G37</f>
        <v>0</v>
      </c>
      <c r="I37" s="101">
        <f t="shared" si="2"/>
        <v>451</v>
      </c>
      <c r="J37" s="101">
        <f t="shared" si="3"/>
        <v>0</v>
      </c>
      <c r="K37" s="101">
        <f t="shared" si="11"/>
        <v>552.14</v>
      </c>
      <c r="L37" s="101">
        <v>0</v>
      </c>
      <c r="M37" s="101">
        <v>0</v>
      </c>
      <c r="N37" s="104">
        <f t="shared" si="4"/>
        <v>218</v>
      </c>
      <c r="O37" s="101">
        <f>LOOKUP(B37,'Tabla ANTIG'!$B$5:$B$29,'Tabla ANTIG'!$C$5:$C$29)*N37</f>
        <v>21.8</v>
      </c>
      <c r="P37" s="101">
        <v>0</v>
      </c>
      <c r="Q37" s="104">
        <f t="shared" si="5"/>
        <v>0</v>
      </c>
      <c r="R37" s="112">
        <f t="shared" si="6"/>
        <v>5558.350000000001</v>
      </c>
      <c r="S37" s="98">
        <f t="shared" si="7"/>
        <v>889.3360000000002</v>
      </c>
      <c r="T37" s="98">
        <f t="shared" si="12"/>
        <v>166.75050000000005</v>
      </c>
      <c r="U37" s="98">
        <v>0</v>
      </c>
      <c r="V37" s="98">
        <f t="shared" si="13"/>
        <v>1056.0865000000003</v>
      </c>
      <c r="W37" s="143">
        <f t="shared" si="14"/>
        <v>255</v>
      </c>
      <c r="X37" s="143">
        <f t="shared" si="15"/>
        <v>0</v>
      </c>
      <c r="Y37" s="99">
        <f t="shared" si="8"/>
        <v>110</v>
      </c>
      <c r="Z37" s="100">
        <f>R37-V37+W37+Y37+X37</f>
        <v>4867.263500000001</v>
      </c>
      <c r="AA37" s="113">
        <f t="shared" si="9"/>
        <v>0</v>
      </c>
      <c r="AB37" s="114">
        <f t="shared" si="10"/>
        <v>4867.263500000001</v>
      </c>
    </row>
    <row r="38" spans="1:28" ht="19.5" customHeight="1">
      <c r="A38" s="109" t="s">
        <v>111</v>
      </c>
      <c r="B38" s="110">
        <v>0</v>
      </c>
      <c r="C38" s="110"/>
      <c r="D38" s="102">
        <v>2.57</v>
      </c>
      <c r="E38" s="101">
        <f t="shared" si="0"/>
        <v>3734.2099999999996</v>
      </c>
      <c r="F38" s="101">
        <f>LOOKUP(B38,'Tabla ANTIG'!$B$5:$B$29,'Tabla ANTIG'!$C$5:$C$29)*E38</f>
        <v>373.421</v>
      </c>
      <c r="G38" s="111">
        <f t="shared" si="1"/>
        <v>0</v>
      </c>
      <c r="H38" s="101">
        <f>LOOKUP(B38,'Tabla ANTIG'!$B$5:$B$29,'Tabla ANTIG'!$C$5:$C$29)*G38</f>
        <v>0</v>
      </c>
      <c r="I38" s="101">
        <f t="shared" si="2"/>
        <v>451</v>
      </c>
      <c r="J38" s="101">
        <f t="shared" si="3"/>
        <v>0</v>
      </c>
      <c r="K38" s="101">
        <f t="shared" si="11"/>
        <v>552.14</v>
      </c>
      <c r="L38" s="101">
        <v>0</v>
      </c>
      <c r="M38" s="101">
        <v>0</v>
      </c>
      <c r="N38" s="104">
        <f t="shared" si="4"/>
        <v>218</v>
      </c>
      <c r="O38" s="101">
        <f>LOOKUP(B38,'Tabla ANTIG'!$B$5:$B$29,'Tabla ANTIG'!$C$5:$C$29)*N38</f>
        <v>21.8</v>
      </c>
      <c r="P38" s="101">
        <v>0</v>
      </c>
      <c r="Q38" s="104">
        <f t="shared" si="5"/>
        <v>0</v>
      </c>
      <c r="R38" s="112">
        <f t="shared" si="6"/>
        <v>5350.571</v>
      </c>
      <c r="S38" s="98">
        <f t="shared" si="7"/>
        <v>856.09136</v>
      </c>
      <c r="T38" s="98">
        <f t="shared" si="12"/>
        <v>160.51712999999998</v>
      </c>
      <c r="U38" s="98">
        <v>0</v>
      </c>
      <c r="V38" s="98">
        <f t="shared" si="13"/>
        <v>1016.60849</v>
      </c>
      <c r="W38" s="143">
        <f t="shared" si="14"/>
        <v>255</v>
      </c>
      <c r="X38" s="143">
        <f t="shared" si="15"/>
        <v>0</v>
      </c>
      <c r="Y38" s="99">
        <f t="shared" si="8"/>
        <v>110</v>
      </c>
      <c r="Z38" s="100">
        <f t="shared" si="16"/>
        <v>4698.96251</v>
      </c>
      <c r="AA38" s="113">
        <f t="shared" si="9"/>
        <v>0</v>
      </c>
      <c r="AB38" s="114">
        <f t="shared" si="10"/>
        <v>4698.96251</v>
      </c>
    </row>
    <row r="39" spans="1:28" ht="19.5" customHeight="1">
      <c r="A39" s="109" t="s">
        <v>112</v>
      </c>
      <c r="B39" s="110">
        <v>0</v>
      </c>
      <c r="C39" s="110"/>
      <c r="D39" s="102">
        <v>2.44</v>
      </c>
      <c r="E39" s="101">
        <f t="shared" si="0"/>
        <v>3545.3199999999997</v>
      </c>
      <c r="F39" s="101">
        <f>LOOKUP(B39,'Tabla ANTIG'!$B$5:$B$29,'Tabla ANTIG'!$C$5:$C$29)*E39</f>
        <v>354.532</v>
      </c>
      <c r="G39" s="111">
        <f t="shared" si="1"/>
        <v>0</v>
      </c>
      <c r="H39" s="101">
        <f>LOOKUP(B39,'Tabla ANTIG'!$B$5:$B$29,'Tabla ANTIG'!$C$5:$C$29)*G39</f>
        <v>0</v>
      </c>
      <c r="I39" s="101">
        <f t="shared" si="2"/>
        <v>451</v>
      </c>
      <c r="J39" s="101">
        <f t="shared" si="3"/>
        <v>0</v>
      </c>
      <c r="K39" s="101">
        <f t="shared" si="11"/>
        <v>552.14</v>
      </c>
      <c r="L39" s="101">
        <v>0</v>
      </c>
      <c r="M39" s="101">
        <v>0</v>
      </c>
      <c r="N39" s="104">
        <f t="shared" si="4"/>
        <v>218</v>
      </c>
      <c r="O39" s="101">
        <f>LOOKUP(B39,'Tabla ANTIG'!$B$5:$B$29,'Tabla ANTIG'!$C$5:$C$29)*N39</f>
        <v>21.8</v>
      </c>
      <c r="P39" s="101">
        <v>0</v>
      </c>
      <c r="Q39" s="104">
        <f t="shared" si="5"/>
        <v>0</v>
      </c>
      <c r="R39" s="112">
        <f t="shared" si="6"/>
        <v>5142.792</v>
      </c>
      <c r="S39" s="98">
        <f t="shared" si="7"/>
        <v>822.8467200000001</v>
      </c>
      <c r="T39" s="98">
        <f t="shared" si="12"/>
        <v>154.28376</v>
      </c>
      <c r="U39" s="98">
        <v>0</v>
      </c>
      <c r="V39" s="98">
        <f t="shared" si="13"/>
        <v>977.1304800000001</v>
      </c>
      <c r="W39" s="143">
        <f t="shared" si="14"/>
        <v>255</v>
      </c>
      <c r="X39" s="143">
        <f t="shared" si="15"/>
        <v>0</v>
      </c>
      <c r="Y39" s="99">
        <f t="shared" si="8"/>
        <v>110</v>
      </c>
      <c r="Z39" s="100">
        <f>R39-V39+W39+Y39+X39</f>
        <v>4530.661520000001</v>
      </c>
      <c r="AA39" s="113">
        <f t="shared" si="9"/>
        <v>0</v>
      </c>
      <c r="AB39" s="114">
        <f t="shared" si="10"/>
        <v>4530.661520000001</v>
      </c>
    </row>
    <row r="40" spans="1:28" ht="19.5" customHeight="1">
      <c r="A40" s="109" t="s">
        <v>113</v>
      </c>
      <c r="B40" s="110">
        <v>0</v>
      </c>
      <c r="C40" s="110"/>
      <c r="D40" s="102">
        <v>2.36</v>
      </c>
      <c r="E40" s="101">
        <f t="shared" si="0"/>
        <v>3429.08</v>
      </c>
      <c r="F40" s="101">
        <f>LOOKUP(B40,'Tabla ANTIG'!$B$5:$B$29,'Tabla ANTIG'!$C$5:$C$29)*E40</f>
        <v>342.908</v>
      </c>
      <c r="G40" s="111">
        <f t="shared" si="1"/>
        <v>0</v>
      </c>
      <c r="H40" s="101">
        <f>LOOKUP(B40,'Tabla ANTIG'!$B$5:$B$29,'Tabla ANTIG'!$C$5:$C$29)*G40</f>
        <v>0</v>
      </c>
      <c r="I40" s="101">
        <f t="shared" si="2"/>
        <v>451</v>
      </c>
      <c r="J40" s="101">
        <f t="shared" si="3"/>
        <v>0</v>
      </c>
      <c r="K40" s="101">
        <f t="shared" si="11"/>
        <v>552.14</v>
      </c>
      <c r="L40" s="101">
        <v>0</v>
      </c>
      <c r="M40" s="101">
        <v>0</v>
      </c>
      <c r="N40" s="104">
        <f t="shared" si="4"/>
        <v>218</v>
      </c>
      <c r="O40" s="101">
        <f>LOOKUP(B40,'Tabla ANTIG'!$B$5:$B$29,'Tabla ANTIG'!$C$5:$C$29)*N40</f>
        <v>21.8</v>
      </c>
      <c r="P40" s="101">
        <v>0</v>
      </c>
      <c r="Q40" s="104">
        <f t="shared" si="5"/>
        <v>0</v>
      </c>
      <c r="R40" s="112">
        <f t="shared" si="6"/>
        <v>5014.928</v>
      </c>
      <c r="S40" s="98">
        <f t="shared" si="7"/>
        <v>802.38848</v>
      </c>
      <c r="T40" s="98">
        <f t="shared" si="12"/>
        <v>150.44783999999999</v>
      </c>
      <c r="U40" s="98">
        <v>0</v>
      </c>
      <c r="V40" s="98">
        <f t="shared" si="13"/>
        <v>952.8363199999999</v>
      </c>
      <c r="W40" s="143">
        <f t="shared" si="14"/>
        <v>255</v>
      </c>
      <c r="X40" s="143">
        <f t="shared" si="15"/>
        <v>0</v>
      </c>
      <c r="Y40" s="99">
        <f t="shared" si="8"/>
        <v>110</v>
      </c>
      <c r="Z40" s="100">
        <f>R40-V40+W40+Y40+X40</f>
        <v>4427.0916799999995</v>
      </c>
      <c r="AA40" s="113">
        <f t="shared" si="9"/>
        <v>0</v>
      </c>
      <c r="AB40" s="114">
        <f t="shared" si="10"/>
        <v>4427.0916799999995</v>
      </c>
    </row>
    <row r="41" spans="1:28" ht="19.5" customHeight="1">
      <c r="A41" s="109" t="s">
        <v>114</v>
      </c>
      <c r="B41" s="110">
        <v>0</v>
      </c>
      <c r="C41" s="110"/>
      <c r="D41" s="102">
        <v>2.7</v>
      </c>
      <c r="E41" s="101">
        <f t="shared" si="0"/>
        <v>3923.1000000000004</v>
      </c>
      <c r="F41" s="101">
        <f>LOOKUP(B41,'Tabla ANTIG'!$B$5:$B$29,'Tabla ANTIG'!$C$5:$C$29)*E41</f>
        <v>392.31000000000006</v>
      </c>
      <c r="G41" s="111">
        <f t="shared" si="1"/>
        <v>0</v>
      </c>
      <c r="H41" s="101">
        <f>LOOKUP(B41,'Tabla ANTIG'!$B$5:$B$29,'Tabla ANTIG'!$C$5:$C$29)*G41</f>
        <v>0</v>
      </c>
      <c r="I41" s="101">
        <f t="shared" si="2"/>
        <v>451</v>
      </c>
      <c r="J41" s="101">
        <f t="shared" si="3"/>
        <v>0</v>
      </c>
      <c r="K41" s="101">
        <f t="shared" si="11"/>
        <v>552.14</v>
      </c>
      <c r="L41" s="101">
        <v>0</v>
      </c>
      <c r="M41" s="101">
        <v>0</v>
      </c>
      <c r="N41" s="104">
        <f t="shared" si="4"/>
        <v>218</v>
      </c>
      <c r="O41" s="101">
        <f>LOOKUP(B41,'Tabla ANTIG'!$B$5:$B$29,'Tabla ANTIG'!$C$5:$C$29)*N41</f>
        <v>21.8</v>
      </c>
      <c r="P41" s="101">
        <v>0</v>
      </c>
      <c r="Q41" s="104">
        <f t="shared" si="5"/>
        <v>0</v>
      </c>
      <c r="R41" s="112">
        <f t="shared" si="6"/>
        <v>5558.350000000001</v>
      </c>
      <c r="S41" s="98">
        <f t="shared" si="7"/>
        <v>889.3360000000002</v>
      </c>
      <c r="T41" s="98">
        <f>R41*$T$29</f>
        <v>166.75050000000005</v>
      </c>
      <c r="U41" s="98">
        <v>0</v>
      </c>
      <c r="V41" s="98">
        <f>SUM(S41:U41)</f>
        <v>1056.0865000000003</v>
      </c>
      <c r="W41" s="143">
        <f t="shared" si="14"/>
        <v>255</v>
      </c>
      <c r="X41" s="143">
        <f t="shared" si="15"/>
        <v>0</v>
      </c>
      <c r="Y41" s="99">
        <f t="shared" si="8"/>
        <v>110</v>
      </c>
      <c r="Z41" s="100">
        <f t="shared" si="16"/>
        <v>4867.263500000001</v>
      </c>
      <c r="AA41" s="113">
        <f t="shared" si="9"/>
        <v>0</v>
      </c>
      <c r="AB41" s="114">
        <f t="shared" si="10"/>
        <v>4867.263500000001</v>
      </c>
    </row>
    <row r="42" spans="1:28" ht="19.5" customHeight="1">
      <c r="A42" s="109" t="s">
        <v>115</v>
      </c>
      <c r="B42" s="110">
        <v>0</v>
      </c>
      <c r="C42" s="110"/>
      <c r="D42" s="102">
        <v>3</v>
      </c>
      <c r="E42" s="101">
        <f t="shared" si="0"/>
        <v>4359</v>
      </c>
      <c r="F42" s="101">
        <f>LOOKUP(B42,'Tabla ANTIG'!$B$5:$B$29,'Tabla ANTIG'!$C$5:$C$29)*E42</f>
        <v>435.90000000000003</v>
      </c>
      <c r="G42" s="111">
        <f t="shared" si="1"/>
        <v>0</v>
      </c>
      <c r="H42" s="101">
        <f>LOOKUP(B42,'Tabla ANTIG'!$B$5:$B$29,'Tabla ANTIG'!$C$5:$C$29)*G42</f>
        <v>0</v>
      </c>
      <c r="I42" s="101">
        <f t="shared" si="2"/>
        <v>451</v>
      </c>
      <c r="J42" s="101">
        <f t="shared" si="3"/>
        <v>0</v>
      </c>
      <c r="K42" s="101">
        <f t="shared" si="11"/>
        <v>552.14</v>
      </c>
      <c r="L42" s="101">
        <v>0</v>
      </c>
      <c r="M42" s="101">
        <v>0</v>
      </c>
      <c r="N42" s="104">
        <f t="shared" si="4"/>
        <v>218</v>
      </c>
      <c r="O42" s="101">
        <f>LOOKUP(B42,'Tabla ANTIG'!$B$5:$B$29,'Tabla ANTIG'!$C$5:$C$29)*N42</f>
        <v>21.8</v>
      </c>
      <c r="P42" s="101">
        <v>0</v>
      </c>
      <c r="Q42" s="104">
        <f t="shared" si="5"/>
        <v>0</v>
      </c>
      <c r="R42" s="112">
        <f t="shared" si="6"/>
        <v>6037.84</v>
      </c>
      <c r="S42" s="98">
        <f t="shared" si="7"/>
        <v>966.0544</v>
      </c>
      <c r="T42" s="98">
        <f>R42*$T$29</f>
        <v>181.1352</v>
      </c>
      <c r="U42" s="98">
        <v>0</v>
      </c>
      <c r="V42" s="98">
        <f>SUM(S42:U42)</f>
        <v>1147.1896</v>
      </c>
      <c r="W42" s="143">
        <f t="shared" si="14"/>
        <v>255</v>
      </c>
      <c r="X42" s="143">
        <f t="shared" si="15"/>
        <v>0</v>
      </c>
      <c r="Y42" s="99">
        <f t="shared" si="8"/>
        <v>110</v>
      </c>
      <c r="Z42" s="100">
        <f>R42-V42+W42+Y42+X42</f>
        <v>5255.6504</v>
      </c>
      <c r="AA42" s="113">
        <f t="shared" si="9"/>
        <v>0</v>
      </c>
      <c r="AB42" s="114">
        <f t="shared" si="10"/>
        <v>5255.6504</v>
      </c>
    </row>
    <row r="43" spans="1:28" ht="19.5" customHeight="1">
      <c r="A43" s="109" t="s">
        <v>116</v>
      </c>
      <c r="B43" s="110">
        <v>0</v>
      </c>
      <c r="C43" s="110"/>
      <c r="D43" s="102">
        <v>2.4</v>
      </c>
      <c r="E43" s="101">
        <f t="shared" si="0"/>
        <v>3487.2</v>
      </c>
      <c r="F43" s="101">
        <f>LOOKUP(B43,'Tabla ANTIG'!$B$5:$B$29,'Tabla ANTIG'!$C$5:$C$29)*E43</f>
        <v>348.72</v>
      </c>
      <c r="G43" s="111">
        <f t="shared" si="1"/>
        <v>0</v>
      </c>
      <c r="H43" s="101">
        <f>LOOKUP(B43,'Tabla ANTIG'!$B$5:$B$29,'Tabla ANTIG'!$C$5:$C$29)*G43</f>
        <v>0</v>
      </c>
      <c r="I43" s="101">
        <f t="shared" si="2"/>
        <v>451</v>
      </c>
      <c r="J43" s="101">
        <f t="shared" si="3"/>
        <v>0</v>
      </c>
      <c r="K43" s="101">
        <f t="shared" si="11"/>
        <v>552.14</v>
      </c>
      <c r="L43" s="101">
        <v>0</v>
      </c>
      <c r="M43" s="101">
        <v>0</v>
      </c>
      <c r="N43" s="104">
        <f t="shared" si="4"/>
        <v>218</v>
      </c>
      <c r="O43" s="101">
        <f>LOOKUP(B43,'Tabla ANTIG'!$B$5:$B$29,'Tabla ANTIG'!$C$5:$C$29)*N43</f>
        <v>21.8</v>
      </c>
      <c r="P43" s="101">
        <v>0</v>
      </c>
      <c r="Q43" s="104">
        <f t="shared" si="5"/>
        <v>0</v>
      </c>
      <c r="R43" s="112">
        <f t="shared" si="6"/>
        <v>5078.860000000001</v>
      </c>
      <c r="S43" s="98">
        <f t="shared" si="7"/>
        <v>812.6176000000002</v>
      </c>
      <c r="T43" s="98">
        <f>R43*$T$29</f>
        <v>152.3658</v>
      </c>
      <c r="U43" s="98">
        <v>0</v>
      </c>
      <c r="V43" s="98">
        <f>SUM(S43:U43)</f>
        <v>964.9834000000002</v>
      </c>
      <c r="W43" s="143">
        <f t="shared" si="14"/>
        <v>255</v>
      </c>
      <c r="X43" s="143">
        <f t="shared" si="15"/>
        <v>0</v>
      </c>
      <c r="Y43" s="99">
        <f t="shared" si="8"/>
        <v>110</v>
      </c>
      <c r="Z43" s="100">
        <f t="shared" si="16"/>
        <v>4478.8766000000005</v>
      </c>
      <c r="AA43" s="113">
        <f t="shared" si="9"/>
        <v>0</v>
      </c>
      <c r="AB43" s="114">
        <f t="shared" si="10"/>
        <v>4478.8766000000005</v>
      </c>
    </row>
    <row r="44" spans="1:28" ht="19.5" customHeight="1">
      <c r="A44" s="109" t="s">
        <v>118</v>
      </c>
      <c r="B44" s="110">
        <v>0</v>
      </c>
      <c r="C44" s="110"/>
      <c r="D44" s="102">
        <v>1.8</v>
      </c>
      <c r="E44" s="101">
        <f t="shared" si="0"/>
        <v>2615.4</v>
      </c>
      <c r="F44" s="101">
        <f>LOOKUP(B44,'Tabla ANTIG'!$B$5:$B$29,'Tabla ANTIG'!$C$5:$C$29)*E44</f>
        <v>261.54</v>
      </c>
      <c r="G44" s="111">
        <f t="shared" si="1"/>
        <v>0</v>
      </c>
      <c r="H44" s="101">
        <f>LOOKUP(B44,'Tabla ANTIG'!$B$5:$B$29,'Tabla ANTIG'!$C$5:$C$29)*G44</f>
        <v>0</v>
      </c>
      <c r="I44" s="101">
        <f t="shared" si="2"/>
        <v>451</v>
      </c>
      <c r="J44" s="101">
        <f t="shared" si="3"/>
        <v>0</v>
      </c>
      <c r="K44" s="101">
        <f t="shared" si="11"/>
        <v>552.14</v>
      </c>
      <c r="L44" s="101">
        <v>0</v>
      </c>
      <c r="M44" s="101">
        <v>0</v>
      </c>
      <c r="N44" s="104">
        <f t="shared" si="4"/>
        <v>218</v>
      </c>
      <c r="O44" s="101">
        <f>LOOKUP(B44,'Tabla ANTIG'!$B$5:$B$29,'Tabla ANTIG'!$C$5:$C$29)*N44</f>
        <v>21.8</v>
      </c>
      <c r="P44" s="101">
        <v>0</v>
      </c>
      <c r="Q44" s="104">
        <f t="shared" si="5"/>
        <v>0</v>
      </c>
      <c r="R44" s="112">
        <f t="shared" si="6"/>
        <v>4119.88</v>
      </c>
      <c r="S44" s="98">
        <f t="shared" si="7"/>
        <v>659.1808</v>
      </c>
      <c r="T44" s="98">
        <f t="shared" si="12"/>
        <v>123.5964</v>
      </c>
      <c r="U44" s="98">
        <v>0</v>
      </c>
      <c r="V44" s="98">
        <f t="shared" si="13"/>
        <v>782.7772</v>
      </c>
      <c r="W44" s="143">
        <f t="shared" si="14"/>
        <v>255</v>
      </c>
      <c r="X44" s="143">
        <f t="shared" si="15"/>
        <v>0</v>
      </c>
      <c r="Y44" s="99">
        <f t="shared" si="8"/>
        <v>110</v>
      </c>
      <c r="Z44" s="100">
        <f>R44-V44+W44+Y44+X44</f>
        <v>3702.1028</v>
      </c>
      <c r="AA44" s="113">
        <f t="shared" si="9"/>
        <v>0</v>
      </c>
      <c r="AB44" s="114">
        <f t="shared" si="10"/>
        <v>3702.1028</v>
      </c>
    </row>
    <row r="45" spans="1:28" ht="19.5" customHeight="1">
      <c r="A45" s="109" t="s">
        <v>117</v>
      </c>
      <c r="B45" s="110">
        <v>0</v>
      </c>
      <c r="C45" s="110"/>
      <c r="D45" s="102">
        <v>2.03</v>
      </c>
      <c r="E45" s="101">
        <f t="shared" si="0"/>
        <v>2949.5899999999997</v>
      </c>
      <c r="F45" s="101">
        <f>LOOKUP(B45,'Tabla ANTIG'!$B$5:$B$29,'Tabla ANTIG'!$C$5:$C$29)*E45</f>
        <v>294.959</v>
      </c>
      <c r="G45" s="111">
        <f t="shared" si="1"/>
        <v>0</v>
      </c>
      <c r="H45" s="101">
        <f>LOOKUP(B45,'Tabla ANTIG'!$B$5:$B$29,'Tabla ANTIG'!$C$5:$C$29)*G45</f>
        <v>0</v>
      </c>
      <c r="I45" s="101">
        <f t="shared" si="2"/>
        <v>451</v>
      </c>
      <c r="J45" s="101">
        <f t="shared" si="3"/>
        <v>0</v>
      </c>
      <c r="K45" s="101">
        <f t="shared" si="11"/>
        <v>552.14</v>
      </c>
      <c r="L45" s="101">
        <v>0</v>
      </c>
      <c r="M45" s="101">
        <v>0</v>
      </c>
      <c r="N45" s="104">
        <f t="shared" si="4"/>
        <v>218</v>
      </c>
      <c r="O45" s="101">
        <f>LOOKUP(B45,'Tabla ANTIG'!$B$5:$B$29,'Tabla ANTIG'!$C$5:$C$29)*N45</f>
        <v>21.8</v>
      </c>
      <c r="P45" s="101">
        <v>0</v>
      </c>
      <c r="Q45" s="104">
        <f t="shared" si="5"/>
        <v>0</v>
      </c>
      <c r="R45" s="112">
        <f t="shared" si="6"/>
        <v>4487.489</v>
      </c>
      <c r="S45" s="98">
        <f t="shared" si="7"/>
        <v>717.9982399999999</v>
      </c>
      <c r="T45" s="98">
        <f t="shared" si="12"/>
        <v>134.62466999999998</v>
      </c>
      <c r="U45" s="98">
        <v>0</v>
      </c>
      <c r="V45" s="98">
        <f t="shared" si="13"/>
        <v>852.6229099999998</v>
      </c>
      <c r="W45" s="143">
        <f t="shared" si="14"/>
        <v>255</v>
      </c>
      <c r="X45" s="143">
        <f t="shared" si="15"/>
        <v>0</v>
      </c>
      <c r="Y45" s="99">
        <f t="shared" si="8"/>
        <v>110</v>
      </c>
      <c r="Z45" s="100">
        <f t="shared" si="16"/>
        <v>3999.8660899999995</v>
      </c>
      <c r="AA45" s="113">
        <f t="shared" si="9"/>
        <v>0</v>
      </c>
      <c r="AB45" s="114">
        <f t="shared" si="10"/>
        <v>3999.8660899999995</v>
      </c>
    </row>
    <row r="46" spans="1:28" ht="19.5" customHeight="1">
      <c r="A46" s="109" t="s">
        <v>119</v>
      </c>
      <c r="B46" s="110">
        <v>0</v>
      </c>
      <c r="C46" s="110"/>
      <c r="D46" s="102">
        <v>1.98</v>
      </c>
      <c r="E46" s="101">
        <f t="shared" si="0"/>
        <v>2876.94</v>
      </c>
      <c r="F46" s="101">
        <f>LOOKUP(B46,'Tabla ANTIG'!$B$5:$B$29,'Tabla ANTIG'!$C$5:$C$29)*E46</f>
        <v>287.694</v>
      </c>
      <c r="G46" s="111">
        <f t="shared" si="1"/>
        <v>0</v>
      </c>
      <c r="H46" s="101">
        <f>LOOKUP(B46,'Tabla ANTIG'!$B$5:$B$29,'Tabla ANTIG'!$C$5:$C$29)*G46</f>
        <v>0</v>
      </c>
      <c r="I46" s="101">
        <f t="shared" si="2"/>
        <v>451</v>
      </c>
      <c r="J46" s="101">
        <f t="shared" si="3"/>
        <v>0</v>
      </c>
      <c r="K46" s="101">
        <f t="shared" si="11"/>
        <v>552.14</v>
      </c>
      <c r="L46" s="101">
        <v>0</v>
      </c>
      <c r="M46" s="101">
        <v>0</v>
      </c>
      <c r="N46" s="104">
        <f t="shared" si="4"/>
        <v>218</v>
      </c>
      <c r="O46" s="101">
        <f>LOOKUP(B46,'Tabla ANTIG'!$B$5:$B$29,'Tabla ANTIG'!$C$5:$C$29)*N46</f>
        <v>21.8</v>
      </c>
      <c r="P46" s="101">
        <v>0</v>
      </c>
      <c r="Q46" s="104">
        <f t="shared" si="5"/>
        <v>0</v>
      </c>
      <c r="R46" s="112">
        <f t="shared" si="6"/>
        <v>4407.5740000000005</v>
      </c>
      <c r="S46" s="98">
        <f t="shared" si="7"/>
        <v>705.21184</v>
      </c>
      <c r="T46" s="98">
        <f t="shared" si="12"/>
        <v>132.22722000000002</v>
      </c>
      <c r="U46" s="98">
        <v>0</v>
      </c>
      <c r="V46" s="98">
        <f t="shared" si="13"/>
        <v>837.43906</v>
      </c>
      <c r="W46" s="143">
        <f t="shared" si="14"/>
        <v>255</v>
      </c>
      <c r="X46" s="143">
        <f t="shared" si="15"/>
        <v>0</v>
      </c>
      <c r="Y46" s="99">
        <f t="shared" si="8"/>
        <v>110</v>
      </c>
      <c r="Z46" s="100">
        <f t="shared" si="16"/>
        <v>3935.1349400000004</v>
      </c>
      <c r="AA46" s="113">
        <f t="shared" si="9"/>
        <v>0</v>
      </c>
      <c r="AB46" s="114">
        <f t="shared" si="10"/>
        <v>3935.1349400000004</v>
      </c>
    </row>
    <row r="47" spans="1:28" ht="19.5" customHeight="1">
      <c r="A47" s="109" t="s">
        <v>120</v>
      </c>
      <c r="B47" s="110">
        <v>0</v>
      </c>
      <c r="C47" s="110"/>
      <c r="D47" s="102">
        <v>1.92</v>
      </c>
      <c r="E47" s="101">
        <f t="shared" si="0"/>
        <v>2789.7599999999998</v>
      </c>
      <c r="F47" s="101">
        <f>LOOKUP(B47,'Tabla ANTIG'!$B$5:$B$29,'Tabla ANTIG'!$C$5:$C$29)*E47</f>
        <v>278.976</v>
      </c>
      <c r="G47" s="111">
        <f t="shared" si="1"/>
        <v>0</v>
      </c>
      <c r="H47" s="101">
        <f>LOOKUP(B47,'Tabla ANTIG'!$B$5:$B$29,'Tabla ANTIG'!$C$5:$C$29)*G47</f>
        <v>0</v>
      </c>
      <c r="I47" s="101">
        <f t="shared" si="2"/>
        <v>451</v>
      </c>
      <c r="J47" s="101">
        <f t="shared" si="3"/>
        <v>0</v>
      </c>
      <c r="K47" s="101">
        <f t="shared" si="11"/>
        <v>552.14</v>
      </c>
      <c r="L47" s="101">
        <v>0</v>
      </c>
      <c r="M47" s="101">
        <v>0</v>
      </c>
      <c r="N47" s="104">
        <f t="shared" si="4"/>
        <v>218</v>
      </c>
      <c r="O47" s="101">
        <f>LOOKUP(B47,'Tabla ANTIG'!$B$5:$B$29,'Tabla ANTIG'!$C$5:$C$29)*N47</f>
        <v>21.8</v>
      </c>
      <c r="P47" s="101">
        <v>0</v>
      </c>
      <c r="Q47" s="104">
        <f t="shared" si="5"/>
        <v>0</v>
      </c>
      <c r="R47" s="112">
        <f t="shared" si="6"/>
        <v>4311.676</v>
      </c>
      <c r="S47" s="98">
        <f t="shared" si="7"/>
        <v>689.8681600000001</v>
      </c>
      <c r="T47" s="98">
        <f t="shared" si="12"/>
        <v>129.35028</v>
      </c>
      <c r="U47" s="98">
        <v>0</v>
      </c>
      <c r="V47" s="98">
        <f t="shared" si="13"/>
        <v>819.2184400000001</v>
      </c>
      <c r="W47" s="143">
        <f t="shared" si="14"/>
        <v>255</v>
      </c>
      <c r="X47" s="143">
        <f t="shared" si="15"/>
        <v>0</v>
      </c>
      <c r="Y47" s="99">
        <f t="shared" si="8"/>
        <v>110</v>
      </c>
      <c r="Z47" s="100">
        <f t="shared" si="16"/>
        <v>3857.4575600000003</v>
      </c>
      <c r="AA47" s="113">
        <f t="shared" si="9"/>
        <v>0</v>
      </c>
      <c r="AB47" s="114">
        <f t="shared" si="10"/>
        <v>3857.4575600000003</v>
      </c>
    </row>
    <row r="48" spans="1:28" ht="19.5" customHeight="1">
      <c r="A48" s="109" t="s">
        <v>121</v>
      </c>
      <c r="B48" s="110">
        <v>0</v>
      </c>
      <c r="C48" s="110"/>
      <c r="D48" s="102">
        <v>1.86</v>
      </c>
      <c r="E48" s="101">
        <f t="shared" si="0"/>
        <v>2702.58</v>
      </c>
      <c r="F48" s="101">
        <f>LOOKUP(B48,'Tabla ANTIG'!$B$5:$B$29,'Tabla ANTIG'!$C$5:$C$29)*E48</f>
        <v>270.258</v>
      </c>
      <c r="G48" s="111">
        <f t="shared" si="1"/>
        <v>0</v>
      </c>
      <c r="H48" s="101">
        <f>LOOKUP(B48,'Tabla ANTIG'!$B$5:$B$29,'Tabla ANTIG'!$C$5:$C$29)*G48</f>
        <v>0</v>
      </c>
      <c r="I48" s="101">
        <f t="shared" si="2"/>
        <v>451</v>
      </c>
      <c r="J48" s="101">
        <f t="shared" si="3"/>
        <v>0</v>
      </c>
      <c r="K48" s="101">
        <f t="shared" si="11"/>
        <v>552.14</v>
      </c>
      <c r="L48" s="101">
        <v>0</v>
      </c>
      <c r="M48" s="101">
        <v>0</v>
      </c>
      <c r="N48" s="104">
        <f t="shared" si="4"/>
        <v>218</v>
      </c>
      <c r="O48" s="101">
        <f>LOOKUP(B48,'Tabla ANTIG'!$B$5:$B$29,'Tabla ANTIG'!$C$5:$C$29)*N48</f>
        <v>21.8</v>
      </c>
      <c r="P48" s="101">
        <v>0</v>
      </c>
      <c r="Q48" s="104">
        <f t="shared" si="5"/>
        <v>0</v>
      </c>
      <c r="R48" s="112">
        <f t="shared" si="6"/>
        <v>4215.777999999999</v>
      </c>
      <c r="S48" s="98">
        <f t="shared" si="7"/>
        <v>674.5244799999999</v>
      </c>
      <c r="T48" s="98">
        <f t="shared" si="12"/>
        <v>126.47333999999998</v>
      </c>
      <c r="U48" s="98">
        <v>0</v>
      </c>
      <c r="V48" s="98">
        <f t="shared" si="13"/>
        <v>800.9978199999999</v>
      </c>
      <c r="W48" s="143">
        <f t="shared" si="14"/>
        <v>255</v>
      </c>
      <c r="X48" s="143">
        <f t="shared" si="15"/>
        <v>0</v>
      </c>
      <c r="Y48" s="99">
        <f t="shared" si="8"/>
        <v>110</v>
      </c>
      <c r="Z48" s="100">
        <f t="shared" si="16"/>
        <v>3779.7801799999993</v>
      </c>
      <c r="AA48" s="113">
        <f t="shared" si="9"/>
        <v>0</v>
      </c>
      <c r="AB48" s="114">
        <f t="shared" si="10"/>
        <v>3779.7801799999993</v>
      </c>
    </row>
    <row r="49" spans="1:28" ht="19.5" customHeight="1">
      <c r="A49" s="109" t="s">
        <v>122</v>
      </c>
      <c r="B49" s="110">
        <v>0</v>
      </c>
      <c r="C49" s="110"/>
      <c r="D49" s="102">
        <v>1.8</v>
      </c>
      <c r="E49" s="101">
        <f t="shared" si="0"/>
        <v>2615.4</v>
      </c>
      <c r="F49" s="101">
        <f>LOOKUP(B49,'Tabla ANTIG'!$B$5:$B$29,'Tabla ANTIG'!$C$5:$C$29)*E49</f>
        <v>261.54</v>
      </c>
      <c r="G49" s="111">
        <f t="shared" si="1"/>
        <v>0</v>
      </c>
      <c r="H49" s="101">
        <f>LOOKUP(B49,'Tabla ANTIG'!$B$5:$B$29,'Tabla ANTIG'!$C$5:$C$29)*G49</f>
        <v>0</v>
      </c>
      <c r="I49" s="101">
        <f t="shared" si="2"/>
        <v>451</v>
      </c>
      <c r="J49" s="101">
        <f t="shared" si="3"/>
        <v>0</v>
      </c>
      <c r="K49" s="101">
        <f t="shared" si="11"/>
        <v>552.14</v>
      </c>
      <c r="L49" s="101">
        <v>0</v>
      </c>
      <c r="M49" s="101">
        <v>0</v>
      </c>
      <c r="N49" s="104">
        <f t="shared" si="4"/>
        <v>218</v>
      </c>
      <c r="O49" s="101">
        <f>LOOKUP(B49,'Tabla ANTIG'!$B$5:$B$29,'Tabla ANTIG'!$C$5:$C$29)*N49</f>
        <v>21.8</v>
      </c>
      <c r="P49" s="101">
        <v>0</v>
      </c>
      <c r="Q49" s="104">
        <f t="shared" si="5"/>
        <v>0</v>
      </c>
      <c r="R49" s="112">
        <f t="shared" si="6"/>
        <v>4119.88</v>
      </c>
      <c r="S49" s="98">
        <f t="shared" si="7"/>
        <v>659.1808</v>
      </c>
      <c r="T49" s="98">
        <f t="shared" si="12"/>
        <v>123.5964</v>
      </c>
      <c r="U49" s="98">
        <v>0</v>
      </c>
      <c r="V49" s="98">
        <f t="shared" si="13"/>
        <v>782.7772</v>
      </c>
      <c r="W49" s="143">
        <f t="shared" si="14"/>
        <v>255</v>
      </c>
      <c r="X49" s="143">
        <f t="shared" si="15"/>
        <v>0</v>
      </c>
      <c r="Y49" s="99">
        <f t="shared" si="8"/>
        <v>110</v>
      </c>
      <c r="Z49" s="100">
        <f>R49-V49+W49+Y49+X49</f>
        <v>3702.1028</v>
      </c>
      <c r="AA49" s="113">
        <f t="shared" si="9"/>
        <v>0</v>
      </c>
      <c r="AB49" s="114">
        <f t="shared" si="10"/>
        <v>3702.1028</v>
      </c>
    </row>
    <row r="50" spans="1:28" ht="19.5" customHeight="1">
      <c r="A50" s="109" t="s">
        <v>123</v>
      </c>
      <c r="B50" s="110">
        <v>0</v>
      </c>
      <c r="C50" s="110"/>
      <c r="D50" s="102">
        <v>2.23</v>
      </c>
      <c r="E50" s="101">
        <f t="shared" si="0"/>
        <v>3240.19</v>
      </c>
      <c r="F50" s="101">
        <f>LOOKUP(B50,'Tabla ANTIG'!$B$5:$B$29,'Tabla ANTIG'!$C$5:$C$29)*E50</f>
        <v>324.019</v>
      </c>
      <c r="G50" s="111">
        <f t="shared" si="1"/>
        <v>0</v>
      </c>
      <c r="H50" s="101">
        <f>LOOKUP(B50,'Tabla ANTIG'!$B$5:$B$29,'Tabla ANTIG'!$C$5:$C$29)*G50</f>
        <v>0</v>
      </c>
      <c r="I50" s="101">
        <f t="shared" si="2"/>
        <v>451</v>
      </c>
      <c r="J50" s="101">
        <f t="shared" si="3"/>
        <v>0</v>
      </c>
      <c r="K50" s="101">
        <f t="shared" si="11"/>
        <v>552.14</v>
      </c>
      <c r="L50" s="101">
        <v>0</v>
      </c>
      <c r="M50" s="101">
        <v>0</v>
      </c>
      <c r="N50" s="104">
        <f t="shared" si="4"/>
        <v>218</v>
      </c>
      <c r="O50" s="101">
        <f>LOOKUP(B50,'Tabla ANTIG'!$B$5:$B$29,'Tabla ANTIG'!$C$5:$C$29)*N50</f>
        <v>21.8</v>
      </c>
      <c r="P50" s="101">
        <v>0</v>
      </c>
      <c r="Q50" s="104">
        <f t="shared" si="5"/>
        <v>0</v>
      </c>
      <c r="R50" s="112">
        <f t="shared" si="6"/>
        <v>4807.149</v>
      </c>
      <c r="S50" s="98">
        <f t="shared" si="7"/>
        <v>769.1438400000001</v>
      </c>
      <c r="T50" s="98">
        <f t="shared" si="12"/>
        <v>144.21447</v>
      </c>
      <c r="U50" s="98">
        <v>0</v>
      </c>
      <c r="V50" s="98">
        <f t="shared" si="13"/>
        <v>913.3583100000001</v>
      </c>
      <c r="W50" s="143">
        <f t="shared" si="14"/>
        <v>255</v>
      </c>
      <c r="X50" s="143">
        <f t="shared" si="15"/>
        <v>0</v>
      </c>
      <c r="Y50" s="99">
        <f t="shared" si="8"/>
        <v>110</v>
      </c>
      <c r="Z50" s="100">
        <f t="shared" si="16"/>
        <v>4258.79069</v>
      </c>
      <c r="AA50" s="113">
        <f t="shared" si="9"/>
        <v>0</v>
      </c>
      <c r="AB50" s="114">
        <f t="shared" si="10"/>
        <v>4258.79069</v>
      </c>
    </row>
    <row r="51" spans="1:28" ht="19.5" customHeight="1">
      <c r="A51" s="109" t="s">
        <v>124</v>
      </c>
      <c r="B51" s="110">
        <v>0</v>
      </c>
      <c r="C51" s="110"/>
      <c r="D51" s="102">
        <v>2.16</v>
      </c>
      <c r="E51" s="101">
        <f t="shared" si="0"/>
        <v>3138.48</v>
      </c>
      <c r="F51" s="101">
        <f>LOOKUP(B51,'Tabla ANTIG'!$B$5:$B$29,'Tabla ANTIG'!$C$5:$C$29)*E51</f>
        <v>313.848</v>
      </c>
      <c r="G51" s="111">
        <f t="shared" si="1"/>
        <v>0</v>
      </c>
      <c r="H51" s="101">
        <f>LOOKUP(B51,'Tabla ANTIG'!$B$5:$B$29,'Tabla ANTIG'!$C$5:$C$29)*G51</f>
        <v>0</v>
      </c>
      <c r="I51" s="101">
        <f t="shared" si="2"/>
        <v>451</v>
      </c>
      <c r="J51" s="101">
        <f t="shared" si="3"/>
        <v>0</v>
      </c>
      <c r="K51" s="101">
        <f t="shared" si="11"/>
        <v>552.14</v>
      </c>
      <c r="L51" s="101">
        <v>0</v>
      </c>
      <c r="M51" s="101">
        <v>0</v>
      </c>
      <c r="N51" s="104">
        <f t="shared" si="4"/>
        <v>218</v>
      </c>
      <c r="O51" s="101">
        <f>LOOKUP(B51,'Tabla ANTIG'!$B$5:$B$29,'Tabla ANTIG'!$C$5:$C$29)*N51</f>
        <v>21.8</v>
      </c>
      <c r="P51" s="101">
        <v>0</v>
      </c>
      <c r="Q51" s="104">
        <f t="shared" si="5"/>
        <v>0</v>
      </c>
      <c r="R51" s="112">
        <f t="shared" si="6"/>
        <v>4695.268</v>
      </c>
      <c r="S51" s="98">
        <f t="shared" si="7"/>
        <v>751.24288</v>
      </c>
      <c r="T51" s="98">
        <f t="shared" si="12"/>
        <v>140.85804</v>
      </c>
      <c r="U51" s="98">
        <v>0</v>
      </c>
      <c r="V51" s="98">
        <f t="shared" si="13"/>
        <v>892.10092</v>
      </c>
      <c r="W51" s="143">
        <f t="shared" si="14"/>
        <v>255</v>
      </c>
      <c r="X51" s="143">
        <f t="shared" si="15"/>
        <v>0</v>
      </c>
      <c r="Y51" s="99">
        <f t="shared" si="8"/>
        <v>110</v>
      </c>
      <c r="Z51" s="100">
        <f t="shared" si="16"/>
        <v>4168.16708</v>
      </c>
      <c r="AA51" s="113">
        <f t="shared" si="9"/>
        <v>0</v>
      </c>
      <c r="AB51" s="114">
        <f t="shared" si="10"/>
        <v>4168.16708</v>
      </c>
    </row>
    <row r="52" spans="1:28" ht="19.5" customHeight="1">
      <c r="A52" s="109" t="s">
        <v>125</v>
      </c>
      <c r="B52" s="110">
        <v>0</v>
      </c>
      <c r="C52" s="110"/>
      <c r="D52" s="102">
        <v>2.09</v>
      </c>
      <c r="E52" s="101">
        <f t="shared" si="0"/>
        <v>3036.77</v>
      </c>
      <c r="F52" s="101">
        <f>LOOKUP(B52,'Tabla ANTIG'!$B$5:$B$29,'Tabla ANTIG'!$C$5:$C$29)*E52</f>
        <v>303.677</v>
      </c>
      <c r="G52" s="111">
        <f t="shared" si="1"/>
        <v>0</v>
      </c>
      <c r="H52" s="101">
        <f>LOOKUP(B52,'Tabla ANTIG'!$B$5:$B$29,'Tabla ANTIG'!$C$5:$C$29)*G52</f>
        <v>0</v>
      </c>
      <c r="I52" s="101">
        <f t="shared" si="2"/>
        <v>451</v>
      </c>
      <c r="J52" s="101">
        <f t="shared" si="3"/>
        <v>0</v>
      </c>
      <c r="K52" s="101">
        <f t="shared" si="11"/>
        <v>552.14</v>
      </c>
      <c r="L52" s="101">
        <v>0</v>
      </c>
      <c r="M52" s="101">
        <v>0</v>
      </c>
      <c r="N52" s="104">
        <f t="shared" si="4"/>
        <v>218</v>
      </c>
      <c r="O52" s="101">
        <f>LOOKUP(B52,'Tabla ANTIG'!$B$5:$B$29,'Tabla ANTIG'!$C$5:$C$29)*N52</f>
        <v>21.8</v>
      </c>
      <c r="P52" s="101">
        <v>0</v>
      </c>
      <c r="Q52" s="104">
        <f t="shared" si="5"/>
        <v>0</v>
      </c>
      <c r="R52" s="112">
        <f t="shared" si="6"/>
        <v>4583.387000000001</v>
      </c>
      <c r="S52" s="98">
        <f t="shared" si="7"/>
        <v>733.3419200000001</v>
      </c>
      <c r="T52" s="98">
        <f t="shared" si="12"/>
        <v>137.50161000000003</v>
      </c>
      <c r="U52" s="98">
        <v>0</v>
      </c>
      <c r="V52" s="98">
        <f t="shared" si="13"/>
        <v>870.8435300000001</v>
      </c>
      <c r="W52" s="143">
        <f t="shared" si="14"/>
        <v>255</v>
      </c>
      <c r="X52" s="143">
        <f t="shared" si="15"/>
        <v>0</v>
      </c>
      <c r="Y52" s="99">
        <f t="shared" si="8"/>
        <v>110</v>
      </c>
      <c r="Z52" s="100">
        <f t="shared" si="16"/>
        <v>4077.5434700000005</v>
      </c>
      <c r="AA52" s="113">
        <f t="shared" si="9"/>
        <v>0</v>
      </c>
      <c r="AB52" s="114">
        <f t="shared" si="10"/>
        <v>4077.5434700000005</v>
      </c>
    </row>
    <row r="53" spans="1:28" ht="19.5" customHeight="1">
      <c r="A53" s="109" t="s">
        <v>126</v>
      </c>
      <c r="B53" s="110">
        <v>0</v>
      </c>
      <c r="C53" s="110"/>
      <c r="D53" s="102">
        <v>2.03</v>
      </c>
      <c r="E53" s="101">
        <f t="shared" si="0"/>
        <v>2949.5899999999997</v>
      </c>
      <c r="F53" s="101">
        <f>LOOKUP(B53,'Tabla ANTIG'!$B$5:$B$29,'Tabla ANTIG'!$C$5:$C$29)*E53</f>
        <v>294.959</v>
      </c>
      <c r="G53" s="111">
        <f t="shared" si="1"/>
        <v>0</v>
      </c>
      <c r="H53" s="101">
        <f>LOOKUP(B53,'Tabla ANTIG'!$B$5:$B$29,'Tabla ANTIG'!$C$5:$C$29)*G53</f>
        <v>0</v>
      </c>
      <c r="I53" s="101">
        <f t="shared" si="2"/>
        <v>451</v>
      </c>
      <c r="J53" s="101">
        <f t="shared" si="3"/>
        <v>0</v>
      </c>
      <c r="K53" s="101">
        <f t="shared" si="11"/>
        <v>552.14</v>
      </c>
      <c r="L53" s="101">
        <v>0</v>
      </c>
      <c r="M53" s="101">
        <v>0</v>
      </c>
      <c r="N53" s="104">
        <f t="shared" si="4"/>
        <v>218</v>
      </c>
      <c r="O53" s="101">
        <f>LOOKUP(B53,'Tabla ANTIG'!$B$5:$B$29,'Tabla ANTIG'!$C$5:$C$29)*N53</f>
        <v>21.8</v>
      </c>
      <c r="P53" s="101">
        <v>0</v>
      </c>
      <c r="Q53" s="104">
        <f t="shared" si="5"/>
        <v>0</v>
      </c>
      <c r="R53" s="112">
        <f t="shared" si="6"/>
        <v>4487.489</v>
      </c>
      <c r="S53" s="98">
        <f t="shared" si="7"/>
        <v>717.9982399999999</v>
      </c>
      <c r="T53" s="98">
        <f t="shared" si="12"/>
        <v>134.62466999999998</v>
      </c>
      <c r="U53" s="98">
        <v>0</v>
      </c>
      <c r="V53" s="98">
        <f t="shared" si="13"/>
        <v>852.6229099999998</v>
      </c>
      <c r="W53" s="143">
        <f t="shared" si="14"/>
        <v>255</v>
      </c>
      <c r="X53" s="143">
        <f t="shared" si="15"/>
        <v>0</v>
      </c>
      <c r="Y53" s="99">
        <f t="shared" si="8"/>
        <v>110</v>
      </c>
      <c r="Z53" s="100">
        <f t="shared" si="16"/>
        <v>3999.8660899999995</v>
      </c>
      <c r="AA53" s="113">
        <f t="shared" si="9"/>
        <v>0</v>
      </c>
      <c r="AB53" s="114">
        <f t="shared" si="10"/>
        <v>3999.8660899999995</v>
      </c>
    </row>
    <row r="54" spans="1:28" ht="19.5" customHeight="1">
      <c r="A54" s="109" t="s">
        <v>127</v>
      </c>
      <c r="B54" s="110">
        <v>0</v>
      </c>
      <c r="C54" s="110"/>
      <c r="D54" s="102">
        <v>1.98</v>
      </c>
      <c r="E54" s="101">
        <f t="shared" si="0"/>
        <v>2876.94</v>
      </c>
      <c r="F54" s="101">
        <f>LOOKUP(B54,'Tabla ANTIG'!$B$5:$B$29,'Tabla ANTIG'!$C$5:$C$29)*E54</f>
        <v>287.694</v>
      </c>
      <c r="G54" s="111">
        <f t="shared" si="1"/>
        <v>0</v>
      </c>
      <c r="H54" s="101">
        <f>LOOKUP(B54,'Tabla ANTIG'!$B$5:$B$29,'Tabla ANTIG'!$C$5:$C$29)*G54</f>
        <v>0</v>
      </c>
      <c r="I54" s="101">
        <f t="shared" si="2"/>
        <v>451</v>
      </c>
      <c r="J54" s="101">
        <f t="shared" si="3"/>
        <v>0</v>
      </c>
      <c r="K54" s="101">
        <f t="shared" si="11"/>
        <v>552.14</v>
      </c>
      <c r="L54" s="101">
        <v>0</v>
      </c>
      <c r="M54" s="101">
        <v>0</v>
      </c>
      <c r="N54" s="104">
        <f t="shared" si="4"/>
        <v>218</v>
      </c>
      <c r="O54" s="101">
        <f>LOOKUP(B54,'Tabla ANTIG'!$B$5:$B$29,'Tabla ANTIG'!$C$5:$C$29)*N54</f>
        <v>21.8</v>
      </c>
      <c r="P54" s="101">
        <v>0</v>
      </c>
      <c r="Q54" s="104">
        <f t="shared" si="5"/>
        <v>0</v>
      </c>
      <c r="R54" s="112">
        <f t="shared" si="6"/>
        <v>4407.5740000000005</v>
      </c>
      <c r="S54" s="98">
        <f t="shared" si="7"/>
        <v>705.21184</v>
      </c>
      <c r="T54" s="98">
        <f t="shared" si="12"/>
        <v>132.22722000000002</v>
      </c>
      <c r="U54" s="98">
        <v>0</v>
      </c>
      <c r="V54" s="98">
        <f t="shared" si="13"/>
        <v>837.43906</v>
      </c>
      <c r="W54" s="143">
        <f t="shared" si="14"/>
        <v>255</v>
      </c>
      <c r="X54" s="143">
        <f t="shared" si="15"/>
        <v>0</v>
      </c>
      <c r="Y54" s="99">
        <f t="shared" si="8"/>
        <v>110</v>
      </c>
      <c r="Z54" s="100">
        <f t="shared" si="16"/>
        <v>3935.1349400000004</v>
      </c>
      <c r="AA54" s="113">
        <f t="shared" si="9"/>
        <v>0</v>
      </c>
      <c r="AB54" s="114">
        <f t="shared" si="10"/>
        <v>3935.1349400000004</v>
      </c>
    </row>
    <row r="55" spans="1:28" ht="19.5" customHeight="1">
      <c r="A55" s="109" t="s">
        <v>11</v>
      </c>
      <c r="B55" s="110">
        <v>0</v>
      </c>
      <c r="C55" s="110"/>
      <c r="D55" s="102">
        <v>1.7</v>
      </c>
      <c r="E55" s="101">
        <f t="shared" si="0"/>
        <v>2470.1</v>
      </c>
      <c r="F55" s="101">
        <f>LOOKUP(B55,'Tabla ANTIG'!$B$5:$B$29,'Tabla ANTIG'!$C$5:$C$29)*E55</f>
        <v>247.01</v>
      </c>
      <c r="G55" s="111">
        <f t="shared" si="1"/>
        <v>0</v>
      </c>
      <c r="H55" s="101">
        <f>LOOKUP(B55,'Tabla ANTIG'!$B$5:$B$29,'Tabla ANTIG'!$C$5:$C$29)*G55</f>
        <v>0</v>
      </c>
      <c r="I55" s="101">
        <f t="shared" si="2"/>
        <v>451</v>
      </c>
      <c r="J55" s="101">
        <f t="shared" si="3"/>
        <v>0</v>
      </c>
      <c r="K55" s="101">
        <f t="shared" si="11"/>
        <v>552.14</v>
      </c>
      <c r="L55" s="101">
        <v>0</v>
      </c>
      <c r="M55" s="101">
        <v>0</v>
      </c>
      <c r="N55" s="104">
        <f t="shared" si="4"/>
        <v>218</v>
      </c>
      <c r="O55" s="101">
        <f>LOOKUP(B55,'Tabla ANTIG'!$B$5:$B$29,'Tabla ANTIG'!$C$5:$C$29)*N55</f>
        <v>21.8</v>
      </c>
      <c r="P55" s="101">
        <v>0</v>
      </c>
      <c r="Q55" s="104">
        <f t="shared" si="5"/>
        <v>0</v>
      </c>
      <c r="R55" s="112">
        <f t="shared" si="6"/>
        <v>3960.0499999999997</v>
      </c>
      <c r="S55" s="98">
        <f>R55*$S$29</f>
        <v>633.608</v>
      </c>
      <c r="T55" s="98">
        <f>R55*$T$29</f>
        <v>118.80149999999999</v>
      </c>
      <c r="U55" s="98">
        <v>0</v>
      </c>
      <c r="V55" s="98">
        <f>SUM(S55:U55)</f>
        <v>752.4095</v>
      </c>
      <c r="W55" s="143">
        <f t="shared" si="14"/>
        <v>255</v>
      </c>
      <c r="X55" s="143">
        <f t="shared" si="15"/>
        <v>0</v>
      </c>
      <c r="Y55" s="99">
        <f t="shared" si="8"/>
        <v>110</v>
      </c>
      <c r="Z55" s="100">
        <f t="shared" si="16"/>
        <v>3572.6404999999995</v>
      </c>
      <c r="AA55" s="113">
        <f t="shared" si="9"/>
        <v>0</v>
      </c>
      <c r="AB55" s="114">
        <f t="shared" si="10"/>
        <v>3572.6404999999995</v>
      </c>
    </row>
    <row r="56" spans="1:28" ht="19.5" customHeight="1">
      <c r="A56" s="109" t="s">
        <v>128</v>
      </c>
      <c r="B56" s="110">
        <v>0</v>
      </c>
      <c r="C56" s="110"/>
      <c r="D56" s="102">
        <v>1.92</v>
      </c>
      <c r="E56" s="101">
        <f t="shared" si="0"/>
        <v>2789.7599999999998</v>
      </c>
      <c r="F56" s="101">
        <f>LOOKUP(B56,'Tabla ANTIG'!$B$5:$B$29,'Tabla ANTIG'!$C$5:$C$29)*E56</f>
        <v>278.976</v>
      </c>
      <c r="G56" s="111">
        <f t="shared" si="1"/>
        <v>0</v>
      </c>
      <c r="H56" s="101">
        <f>LOOKUP(B56,'Tabla ANTIG'!$B$5:$B$29,'Tabla ANTIG'!$C$5:$C$29)*G56</f>
        <v>0</v>
      </c>
      <c r="I56" s="101">
        <f t="shared" si="2"/>
        <v>451</v>
      </c>
      <c r="J56" s="101">
        <f t="shared" si="3"/>
        <v>0</v>
      </c>
      <c r="K56" s="101">
        <f t="shared" si="11"/>
        <v>552.14</v>
      </c>
      <c r="L56" s="101">
        <v>0</v>
      </c>
      <c r="M56" s="101">
        <v>0</v>
      </c>
      <c r="N56" s="104">
        <f t="shared" si="4"/>
        <v>218</v>
      </c>
      <c r="O56" s="101">
        <f>LOOKUP(B56,'Tabla ANTIG'!$B$5:$B$29,'Tabla ANTIG'!$C$5:$C$29)*N56</f>
        <v>21.8</v>
      </c>
      <c r="P56" s="101">
        <v>0</v>
      </c>
      <c r="Q56" s="104">
        <f t="shared" si="5"/>
        <v>0</v>
      </c>
      <c r="R56" s="112">
        <f t="shared" si="6"/>
        <v>4311.676</v>
      </c>
      <c r="S56" s="98">
        <f>R56*$S$29</f>
        <v>689.8681600000001</v>
      </c>
      <c r="T56" s="98">
        <f>R56*$T$29</f>
        <v>129.35028</v>
      </c>
      <c r="U56" s="98">
        <v>0</v>
      </c>
      <c r="V56" s="98">
        <f>SUM(S56:U56)</f>
        <v>819.2184400000001</v>
      </c>
      <c r="W56" s="143">
        <f t="shared" si="14"/>
        <v>255</v>
      </c>
      <c r="X56" s="143">
        <f t="shared" si="15"/>
        <v>0</v>
      </c>
      <c r="Y56" s="99">
        <f t="shared" si="8"/>
        <v>110</v>
      </c>
      <c r="Z56" s="100">
        <f t="shared" si="16"/>
        <v>3857.4575600000003</v>
      </c>
      <c r="AA56" s="113">
        <f t="shared" si="9"/>
        <v>0</v>
      </c>
      <c r="AB56" s="114">
        <f t="shared" si="10"/>
        <v>3857.4575600000003</v>
      </c>
    </row>
    <row r="57" spans="1:28" ht="19.5" customHeight="1">
      <c r="A57" s="109" t="s">
        <v>129</v>
      </c>
      <c r="B57" s="110">
        <v>0</v>
      </c>
      <c r="C57" s="110"/>
      <c r="D57" s="102">
        <v>1.7</v>
      </c>
      <c r="E57" s="101">
        <f t="shared" si="0"/>
        <v>2470.1</v>
      </c>
      <c r="F57" s="101">
        <f>LOOKUP(B57,'Tabla ANTIG'!$B$5:$B$29,'Tabla ANTIG'!$C$5:$C$29)*E57</f>
        <v>247.01</v>
      </c>
      <c r="G57" s="111">
        <f t="shared" si="1"/>
        <v>0</v>
      </c>
      <c r="H57" s="101">
        <f>LOOKUP(B57,'Tabla ANTIG'!$B$5:$B$29,'Tabla ANTIG'!$C$5:$C$29)*G57</f>
        <v>0</v>
      </c>
      <c r="I57" s="101">
        <f t="shared" si="2"/>
        <v>451</v>
      </c>
      <c r="J57" s="101">
        <f t="shared" si="3"/>
        <v>0</v>
      </c>
      <c r="K57" s="101">
        <f t="shared" si="11"/>
        <v>552.14</v>
      </c>
      <c r="L57" s="101">
        <v>0</v>
      </c>
      <c r="M57" s="101">
        <v>0</v>
      </c>
      <c r="N57" s="104">
        <f t="shared" si="4"/>
        <v>218</v>
      </c>
      <c r="O57" s="101">
        <f>LOOKUP(B57,'Tabla ANTIG'!$B$5:$B$29,'Tabla ANTIG'!$C$5:$C$29)*N57</f>
        <v>21.8</v>
      </c>
      <c r="P57" s="101">
        <v>0</v>
      </c>
      <c r="Q57" s="104">
        <f t="shared" si="5"/>
        <v>0</v>
      </c>
      <c r="R57" s="112">
        <f t="shared" si="6"/>
        <v>3960.0499999999997</v>
      </c>
      <c r="S57" s="98">
        <f>R57*$S$29</f>
        <v>633.608</v>
      </c>
      <c r="T57" s="98">
        <f>R57*$T$29</f>
        <v>118.80149999999999</v>
      </c>
      <c r="U57" s="98">
        <v>0</v>
      </c>
      <c r="V57" s="98">
        <f>SUM(S57:U57)</f>
        <v>752.4095</v>
      </c>
      <c r="W57" s="143">
        <f t="shared" si="14"/>
        <v>255</v>
      </c>
      <c r="X57" s="143">
        <f t="shared" si="15"/>
        <v>0</v>
      </c>
      <c r="Y57" s="99">
        <f t="shared" si="8"/>
        <v>110</v>
      </c>
      <c r="Z57" s="100">
        <f t="shared" si="16"/>
        <v>3572.6404999999995</v>
      </c>
      <c r="AA57" s="113">
        <f t="shared" si="9"/>
        <v>0</v>
      </c>
      <c r="AB57" s="114">
        <f t="shared" si="10"/>
        <v>3572.6404999999995</v>
      </c>
    </row>
    <row r="58" spans="1:28" ht="19.5" customHeight="1">
      <c r="A58" s="109" t="s">
        <v>130</v>
      </c>
      <c r="B58" s="110">
        <v>0</v>
      </c>
      <c r="C58" s="110"/>
      <c r="D58" s="102">
        <v>1.92</v>
      </c>
      <c r="E58" s="101">
        <f t="shared" si="0"/>
        <v>2789.7599999999998</v>
      </c>
      <c r="F58" s="101">
        <f>LOOKUP(B58,'Tabla ANTIG'!$B$5:$B$29,'Tabla ANTIG'!$C$5:$C$29)*E58</f>
        <v>278.976</v>
      </c>
      <c r="G58" s="111">
        <f t="shared" si="1"/>
        <v>0</v>
      </c>
      <c r="H58" s="101">
        <f>LOOKUP(B58,'Tabla ANTIG'!$B$5:$B$29,'Tabla ANTIG'!$C$5:$C$29)*G58</f>
        <v>0</v>
      </c>
      <c r="I58" s="101">
        <f t="shared" si="2"/>
        <v>451</v>
      </c>
      <c r="J58" s="101">
        <f t="shared" si="3"/>
        <v>0</v>
      </c>
      <c r="K58" s="101">
        <f t="shared" si="11"/>
        <v>552.14</v>
      </c>
      <c r="L58" s="101">
        <v>0</v>
      </c>
      <c r="M58" s="101">
        <v>0</v>
      </c>
      <c r="N58" s="104">
        <f t="shared" si="4"/>
        <v>218</v>
      </c>
      <c r="O58" s="101">
        <f>LOOKUP(B58,'Tabla ANTIG'!$B$5:$B$29,'Tabla ANTIG'!$C$5:$C$29)*N58</f>
        <v>21.8</v>
      </c>
      <c r="P58" s="101">
        <v>0</v>
      </c>
      <c r="Q58" s="104">
        <f t="shared" si="5"/>
        <v>0</v>
      </c>
      <c r="R58" s="112">
        <f t="shared" si="6"/>
        <v>4311.676</v>
      </c>
      <c r="S58" s="98">
        <f t="shared" si="7"/>
        <v>689.8681600000001</v>
      </c>
      <c r="T58" s="98">
        <f t="shared" si="12"/>
        <v>129.35028</v>
      </c>
      <c r="U58" s="98">
        <v>0</v>
      </c>
      <c r="V58" s="98">
        <f t="shared" si="13"/>
        <v>819.2184400000001</v>
      </c>
      <c r="W58" s="143">
        <f t="shared" si="14"/>
        <v>255</v>
      </c>
      <c r="X58" s="143">
        <f t="shared" si="15"/>
        <v>0</v>
      </c>
      <c r="Y58" s="99">
        <f t="shared" si="8"/>
        <v>110</v>
      </c>
      <c r="Z58" s="100">
        <f t="shared" si="16"/>
        <v>3857.4575600000003</v>
      </c>
      <c r="AA58" s="113">
        <f t="shared" si="9"/>
        <v>0</v>
      </c>
      <c r="AB58" s="114">
        <f t="shared" si="10"/>
        <v>3857.4575600000003</v>
      </c>
    </row>
    <row r="59" spans="1:28" ht="19.5" customHeight="1">
      <c r="A59" s="109" t="s">
        <v>18</v>
      </c>
      <c r="B59" s="110">
        <v>0</v>
      </c>
      <c r="C59" s="110"/>
      <c r="D59" s="102">
        <v>2.4</v>
      </c>
      <c r="E59" s="101">
        <f t="shared" si="0"/>
        <v>3487.2</v>
      </c>
      <c r="F59" s="101">
        <f>LOOKUP(B59,'Tabla ANTIG'!$B$5:$B$29,'Tabla ANTIG'!$C$5:$C$29)*E59</f>
        <v>348.72</v>
      </c>
      <c r="G59" s="111">
        <f t="shared" si="1"/>
        <v>0</v>
      </c>
      <c r="H59" s="101">
        <f>LOOKUP(B59,'Tabla ANTIG'!$B$5:$B$29,'Tabla ANTIG'!$C$5:$C$29)*G59</f>
        <v>0</v>
      </c>
      <c r="I59" s="101">
        <f t="shared" si="2"/>
        <v>451</v>
      </c>
      <c r="J59" s="101">
        <f t="shared" si="3"/>
        <v>0</v>
      </c>
      <c r="K59" s="101">
        <f t="shared" si="11"/>
        <v>552.14</v>
      </c>
      <c r="L59" s="101">
        <v>0</v>
      </c>
      <c r="M59" s="101">
        <v>0</v>
      </c>
      <c r="N59" s="104">
        <f t="shared" si="4"/>
        <v>218</v>
      </c>
      <c r="O59" s="101">
        <f>LOOKUP(B59,'Tabla ANTIG'!$B$5:$B$29,'Tabla ANTIG'!$C$5:$C$29)*N59</f>
        <v>21.8</v>
      </c>
      <c r="P59" s="101">
        <v>0</v>
      </c>
      <c r="Q59" s="104">
        <f t="shared" si="5"/>
        <v>0</v>
      </c>
      <c r="R59" s="112">
        <f t="shared" si="6"/>
        <v>5078.860000000001</v>
      </c>
      <c r="S59" s="98">
        <f t="shared" si="7"/>
        <v>812.6176000000002</v>
      </c>
      <c r="T59" s="98">
        <f t="shared" si="12"/>
        <v>152.3658</v>
      </c>
      <c r="U59" s="98">
        <v>0</v>
      </c>
      <c r="V59" s="98">
        <f t="shared" si="13"/>
        <v>964.9834000000002</v>
      </c>
      <c r="W59" s="143">
        <f t="shared" si="14"/>
        <v>255</v>
      </c>
      <c r="X59" s="143">
        <f t="shared" si="15"/>
        <v>0</v>
      </c>
      <c r="Y59" s="99">
        <f t="shared" si="8"/>
        <v>110</v>
      </c>
      <c r="Z59" s="100">
        <f t="shared" si="16"/>
        <v>4478.8766000000005</v>
      </c>
      <c r="AA59" s="113">
        <f t="shared" si="9"/>
        <v>0</v>
      </c>
      <c r="AB59" s="114">
        <f t="shared" si="10"/>
        <v>4478.8766000000005</v>
      </c>
    </row>
    <row r="60" spans="1:28" ht="19.5" customHeight="1">
      <c r="A60" s="109" t="s">
        <v>131</v>
      </c>
      <c r="B60" s="110">
        <v>0</v>
      </c>
      <c r="C60" s="110"/>
      <c r="D60" s="102">
        <v>1.7</v>
      </c>
      <c r="E60" s="101">
        <f t="shared" si="0"/>
        <v>2470.1</v>
      </c>
      <c r="F60" s="101">
        <f>LOOKUP(B60,'Tabla ANTIG'!$B$5:$B$29,'Tabla ANTIG'!$C$5:$C$29)*E60</f>
        <v>247.01</v>
      </c>
      <c r="G60" s="111">
        <f t="shared" si="1"/>
        <v>0</v>
      </c>
      <c r="H60" s="101">
        <f>LOOKUP(B60,'Tabla ANTIG'!$B$5:$B$29,'Tabla ANTIG'!$C$5:$C$29)*G60</f>
        <v>0</v>
      </c>
      <c r="I60" s="101">
        <f t="shared" si="2"/>
        <v>451</v>
      </c>
      <c r="J60" s="101">
        <f t="shared" si="3"/>
        <v>0</v>
      </c>
      <c r="K60" s="101">
        <f t="shared" si="11"/>
        <v>552.14</v>
      </c>
      <c r="L60" s="101">
        <v>0</v>
      </c>
      <c r="M60" s="101">
        <v>0</v>
      </c>
      <c r="N60" s="104">
        <f t="shared" si="4"/>
        <v>218</v>
      </c>
      <c r="O60" s="101">
        <f>LOOKUP(B60,'Tabla ANTIG'!$B$5:$B$29,'Tabla ANTIG'!$C$5:$C$29)*N60</f>
        <v>21.8</v>
      </c>
      <c r="P60" s="101">
        <v>0</v>
      </c>
      <c r="Q60" s="104">
        <f t="shared" si="5"/>
        <v>0</v>
      </c>
      <c r="R60" s="112">
        <f t="shared" si="6"/>
        <v>3960.0499999999997</v>
      </c>
      <c r="S60" s="98">
        <f t="shared" si="7"/>
        <v>633.608</v>
      </c>
      <c r="T60" s="98">
        <f>R60*$T$29</f>
        <v>118.80149999999999</v>
      </c>
      <c r="U60" s="98">
        <v>0</v>
      </c>
      <c r="V60" s="98">
        <f>SUM(S60:U60)</f>
        <v>752.4095</v>
      </c>
      <c r="W60" s="143">
        <f t="shared" si="14"/>
        <v>255</v>
      </c>
      <c r="X60" s="143">
        <f t="shared" si="15"/>
        <v>0</v>
      </c>
      <c r="Y60" s="99">
        <f t="shared" si="8"/>
        <v>110</v>
      </c>
      <c r="Z60" s="100">
        <f t="shared" si="16"/>
        <v>3572.6404999999995</v>
      </c>
      <c r="AA60" s="113">
        <f t="shared" si="9"/>
        <v>0</v>
      </c>
      <c r="AB60" s="114">
        <f t="shared" si="10"/>
        <v>3572.6404999999995</v>
      </c>
    </row>
    <row r="61" spans="1:28" ht="19.5" customHeight="1">
      <c r="A61" s="109" t="s">
        <v>1</v>
      </c>
      <c r="B61" s="110">
        <v>0</v>
      </c>
      <c r="C61" s="110"/>
      <c r="D61" s="102">
        <v>1.64</v>
      </c>
      <c r="E61" s="101">
        <f t="shared" si="0"/>
        <v>2382.92</v>
      </c>
      <c r="F61" s="101">
        <f>LOOKUP(B61,'Tabla ANTIG'!$B$5:$B$29,'Tabla ANTIG'!$C$5:$C$29)*E61</f>
        <v>238.29200000000003</v>
      </c>
      <c r="G61" s="111">
        <f t="shared" si="1"/>
        <v>0</v>
      </c>
      <c r="H61" s="101">
        <f>LOOKUP(B61,'Tabla ANTIG'!$B$5:$B$29,'Tabla ANTIG'!$C$5:$C$29)*G61</f>
        <v>0</v>
      </c>
      <c r="I61" s="101">
        <f t="shared" si="2"/>
        <v>451</v>
      </c>
      <c r="J61" s="101">
        <f t="shared" si="3"/>
        <v>0</v>
      </c>
      <c r="K61" s="101">
        <f t="shared" si="11"/>
        <v>552.14</v>
      </c>
      <c r="L61" s="101">
        <v>0</v>
      </c>
      <c r="M61" s="101">
        <v>0</v>
      </c>
      <c r="N61" s="104">
        <f t="shared" si="4"/>
        <v>218</v>
      </c>
      <c r="O61" s="101">
        <f>LOOKUP(B61,'Tabla ANTIG'!$B$5:$B$29,'Tabla ANTIG'!$C$5:$C$29)*N61</f>
        <v>21.8</v>
      </c>
      <c r="P61" s="101">
        <v>0</v>
      </c>
      <c r="Q61" s="104">
        <f t="shared" si="5"/>
        <v>0</v>
      </c>
      <c r="R61" s="112">
        <f t="shared" si="6"/>
        <v>3864.152</v>
      </c>
      <c r="S61" s="98">
        <f t="shared" si="7"/>
        <v>618.26432</v>
      </c>
      <c r="T61" s="98">
        <f t="shared" si="12"/>
        <v>115.92456</v>
      </c>
      <c r="U61" s="98">
        <v>0</v>
      </c>
      <c r="V61" s="98">
        <f t="shared" si="13"/>
        <v>734.18888</v>
      </c>
      <c r="W61" s="143">
        <f t="shared" si="14"/>
        <v>255</v>
      </c>
      <c r="X61" s="143">
        <f t="shared" si="15"/>
        <v>0</v>
      </c>
      <c r="Y61" s="99">
        <f t="shared" si="8"/>
        <v>110</v>
      </c>
      <c r="Z61" s="100">
        <f t="shared" si="16"/>
        <v>3494.96312</v>
      </c>
      <c r="AA61" s="113">
        <f t="shared" si="9"/>
        <v>0</v>
      </c>
      <c r="AB61" s="114">
        <f t="shared" si="10"/>
        <v>3494.96312</v>
      </c>
    </row>
    <row r="62" spans="1:28" ht="19.5" customHeight="1">
      <c r="A62" s="109" t="s">
        <v>3</v>
      </c>
      <c r="B62" s="110">
        <v>0</v>
      </c>
      <c r="C62" s="110"/>
      <c r="D62" s="102">
        <v>1.38</v>
      </c>
      <c r="E62" s="101">
        <f t="shared" si="0"/>
        <v>2005.1399999999999</v>
      </c>
      <c r="F62" s="101">
        <f>LOOKUP(B62,'Tabla ANTIG'!$B$5:$B$29,'Tabla ANTIG'!$C$5:$C$29)*E62</f>
        <v>200.514</v>
      </c>
      <c r="G62" s="111">
        <f t="shared" si="1"/>
        <v>0</v>
      </c>
      <c r="H62" s="101">
        <f>LOOKUP(B62,'Tabla ANTIG'!$B$5:$B$29,'Tabla ANTIG'!$C$5:$C$29)*G62</f>
        <v>0</v>
      </c>
      <c r="I62" s="101">
        <f t="shared" si="2"/>
        <v>451</v>
      </c>
      <c r="J62" s="101">
        <f t="shared" si="3"/>
        <v>0</v>
      </c>
      <c r="K62" s="101">
        <f t="shared" si="11"/>
        <v>552.14</v>
      </c>
      <c r="L62" s="101">
        <v>0</v>
      </c>
      <c r="M62" s="101">
        <v>0</v>
      </c>
      <c r="N62" s="104">
        <f t="shared" si="4"/>
        <v>218</v>
      </c>
      <c r="O62" s="101">
        <f>LOOKUP(B62,'Tabla ANTIG'!$B$5:$B$29,'Tabla ANTIG'!$C$5:$C$29)*N62</f>
        <v>21.8</v>
      </c>
      <c r="P62" s="101">
        <v>0</v>
      </c>
      <c r="Q62" s="104">
        <f t="shared" si="5"/>
        <v>0</v>
      </c>
      <c r="R62" s="112">
        <f t="shared" si="6"/>
        <v>3448.594</v>
      </c>
      <c r="S62" s="98">
        <f t="shared" si="7"/>
        <v>551.77504</v>
      </c>
      <c r="T62" s="98">
        <f t="shared" si="12"/>
        <v>103.45782</v>
      </c>
      <c r="U62" s="98">
        <v>0</v>
      </c>
      <c r="V62" s="98">
        <f t="shared" si="13"/>
        <v>655.23286</v>
      </c>
      <c r="W62" s="143">
        <f t="shared" si="14"/>
        <v>255</v>
      </c>
      <c r="X62" s="143">
        <f t="shared" si="15"/>
        <v>0</v>
      </c>
      <c r="Y62" s="99">
        <f t="shared" si="8"/>
        <v>110</v>
      </c>
      <c r="Z62" s="100">
        <f t="shared" si="16"/>
        <v>3158.36114</v>
      </c>
      <c r="AA62" s="113">
        <f t="shared" si="9"/>
        <v>0</v>
      </c>
      <c r="AB62" s="114">
        <f t="shared" si="10"/>
        <v>3158.36114</v>
      </c>
    </row>
    <row r="63" spans="1:30" ht="19.5" customHeight="1">
      <c r="A63" s="115" t="s">
        <v>132</v>
      </c>
      <c r="B63" s="110">
        <v>0</v>
      </c>
      <c r="C63" s="110"/>
      <c r="D63" s="102">
        <v>1.1</v>
      </c>
      <c r="E63" s="101">
        <f t="shared" si="0"/>
        <v>1598.3000000000002</v>
      </c>
      <c r="F63" s="101">
        <f>LOOKUP(B63,'Tabla ANTIG'!$B$5:$B$29,'Tabla ANTIG'!$C$5:$C$29)*E63</f>
        <v>159.83000000000004</v>
      </c>
      <c r="G63" s="111">
        <f t="shared" si="1"/>
        <v>0</v>
      </c>
      <c r="H63" s="101">
        <f>LOOKUP(B63,'Tabla ANTIG'!$B$5:$B$29,'Tabla ANTIG'!$C$5:$C$29)*G63</f>
        <v>0</v>
      </c>
      <c r="I63" s="101">
        <f t="shared" si="2"/>
        <v>451</v>
      </c>
      <c r="J63" s="101">
        <f t="shared" si="3"/>
        <v>0</v>
      </c>
      <c r="K63" s="101">
        <f t="shared" si="11"/>
        <v>552.14</v>
      </c>
      <c r="L63" s="101">
        <v>0</v>
      </c>
      <c r="M63" s="101">
        <v>0</v>
      </c>
      <c r="N63" s="104">
        <f t="shared" si="4"/>
        <v>218</v>
      </c>
      <c r="O63" s="101">
        <f>LOOKUP(B63,'Tabla ANTIG'!$B$5:$B$29,'Tabla ANTIG'!$C$5:$C$29)*N63</f>
        <v>21.8</v>
      </c>
      <c r="P63" s="101">
        <v>0</v>
      </c>
      <c r="Q63" s="104">
        <f t="shared" si="5"/>
        <v>0</v>
      </c>
      <c r="R63" s="112">
        <f t="shared" si="6"/>
        <v>3001.07</v>
      </c>
      <c r="S63" s="98">
        <f t="shared" si="7"/>
        <v>480.17120000000006</v>
      </c>
      <c r="T63" s="98">
        <f t="shared" si="12"/>
        <v>90.0321</v>
      </c>
      <c r="U63" s="98">
        <v>0</v>
      </c>
      <c r="V63" s="98">
        <f t="shared" si="13"/>
        <v>570.2033</v>
      </c>
      <c r="W63" s="143">
        <f t="shared" si="14"/>
        <v>255</v>
      </c>
      <c r="X63" s="143">
        <f t="shared" si="15"/>
        <v>0</v>
      </c>
      <c r="Y63" s="99">
        <f t="shared" si="8"/>
        <v>110</v>
      </c>
      <c r="Z63" s="100">
        <f t="shared" si="16"/>
        <v>2795.8667</v>
      </c>
      <c r="AA63" s="113">
        <v>139.89</v>
      </c>
      <c r="AB63" s="114">
        <f t="shared" si="10"/>
        <v>2935.7567</v>
      </c>
      <c r="AC63" s="137"/>
      <c r="AD63" s="137"/>
    </row>
    <row r="64" spans="1:28" s="138" customFormat="1" ht="19.5" customHeight="1">
      <c r="A64" s="115" t="s">
        <v>53</v>
      </c>
      <c r="B64" s="116">
        <v>0</v>
      </c>
      <c r="C64" s="116"/>
      <c r="D64" s="102">
        <v>2</v>
      </c>
      <c r="E64" s="101">
        <f>E63*D64</f>
        <v>3196.6000000000004</v>
      </c>
      <c r="F64" s="101">
        <f>LOOKUP(B64,'Tabla ANTIG'!$B$5:$B$29,'Tabla ANTIG'!$C$5:$C$29)*E64</f>
        <v>319.6600000000001</v>
      </c>
      <c r="G64" s="111">
        <f>$B$11*2</f>
        <v>0</v>
      </c>
      <c r="H64" s="101">
        <f>LOOKUP(B64,'Tabla ANTIG'!$B$5:$B$29,'Tabla ANTIG'!$C$5:$C$29)*G64</f>
        <v>0</v>
      </c>
      <c r="I64" s="101">
        <f>$B$12*2</f>
        <v>902</v>
      </c>
      <c r="J64" s="101">
        <f>$B$13*2</f>
        <v>0</v>
      </c>
      <c r="K64" s="101">
        <f>K63*2</f>
        <v>1104.28</v>
      </c>
      <c r="L64" s="101">
        <v>0</v>
      </c>
      <c r="M64" s="101">
        <v>0</v>
      </c>
      <c r="N64" s="104">
        <f>$B$10*2</f>
        <v>436</v>
      </c>
      <c r="O64" s="101">
        <f>LOOKUP(B64,'Tabla ANTIG'!$B$5:$B$29,'Tabla ANTIG'!$C$5:$C$29)*N64</f>
        <v>43.6</v>
      </c>
      <c r="P64" s="101">
        <v>0</v>
      </c>
      <c r="Q64" s="104">
        <f t="shared" si="5"/>
        <v>0</v>
      </c>
      <c r="R64" s="112">
        <f t="shared" si="6"/>
        <v>6002.14</v>
      </c>
      <c r="S64" s="98">
        <f t="shared" si="7"/>
        <v>960.3424000000001</v>
      </c>
      <c r="T64" s="98">
        <f t="shared" si="12"/>
        <v>180.0642</v>
      </c>
      <c r="U64" s="98">
        <v>0</v>
      </c>
      <c r="V64" s="98">
        <f t="shared" si="13"/>
        <v>1140.4066</v>
      </c>
      <c r="W64" s="143">
        <f>$B$19*2</f>
        <v>510</v>
      </c>
      <c r="X64" s="143">
        <f>$B$20*2</f>
        <v>0</v>
      </c>
      <c r="Y64" s="99">
        <f>$B$18*2</f>
        <v>220</v>
      </c>
      <c r="Z64" s="100">
        <f t="shared" si="16"/>
        <v>5591.7334</v>
      </c>
      <c r="AA64" s="113">
        <f t="shared" si="9"/>
        <v>0</v>
      </c>
      <c r="AB64" s="114">
        <f t="shared" si="10"/>
        <v>5591.7334</v>
      </c>
    </row>
    <row r="65" spans="1:28" ht="19.5" customHeight="1">
      <c r="A65" s="109" t="s">
        <v>133</v>
      </c>
      <c r="B65" s="110">
        <v>0</v>
      </c>
      <c r="C65" s="110"/>
      <c r="D65" s="102">
        <v>1.18</v>
      </c>
      <c r="E65" s="101">
        <f t="shared" si="0"/>
        <v>1714.54</v>
      </c>
      <c r="F65" s="101">
        <f>LOOKUP(B65,'Tabla ANTIG'!$B$5:$B$29,'Tabla ANTIG'!$C$5:$C$29)*E65</f>
        <v>171.454</v>
      </c>
      <c r="G65" s="111">
        <f t="shared" si="1"/>
        <v>0</v>
      </c>
      <c r="H65" s="101">
        <f>LOOKUP(B65,'Tabla ANTIG'!$B$5:$B$29,'Tabla ANTIG'!$C$5:$C$29)*G65</f>
        <v>0</v>
      </c>
      <c r="I65" s="101">
        <f t="shared" si="2"/>
        <v>451</v>
      </c>
      <c r="J65" s="101">
        <f t="shared" si="3"/>
        <v>0</v>
      </c>
      <c r="K65" s="101">
        <f t="shared" si="11"/>
        <v>552.14</v>
      </c>
      <c r="L65" s="101">
        <v>0</v>
      </c>
      <c r="M65" s="101">
        <v>0</v>
      </c>
      <c r="N65" s="104">
        <f>$B$10</f>
        <v>218</v>
      </c>
      <c r="O65" s="101">
        <f>LOOKUP(B65,'Tabla ANTIG'!$B$5:$B$29,'Tabla ANTIG'!$C$5:$C$29)*N65</f>
        <v>21.8</v>
      </c>
      <c r="P65" s="101">
        <v>0</v>
      </c>
      <c r="Q65" s="104">
        <f t="shared" si="5"/>
        <v>0</v>
      </c>
      <c r="R65" s="112">
        <f t="shared" si="6"/>
        <v>3128.9339999999997</v>
      </c>
      <c r="S65" s="98">
        <f t="shared" si="7"/>
        <v>500.62944</v>
      </c>
      <c r="T65" s="98">
        <f t="shared" si="12"/>
        <v>93.86801999999999</v>
      </c>
      <c r="U65" s="98">
        <v>0</v>
      </c>
      <c r="V65" s="98">
        <f t="shared" si="13"/>
        <v>594.4974599999999</v>
      </c>
      <c r="W65" s="143">
        <f t="shared" si="14"/>
        <v>255</v>
      </c>
      <c r="X65" s="143">
        <f t="shared" si="15"/>
        <v>0</v>
      </c>
      <c r="Y65" s="99">
        <f t="shared" si="8"/>
        <v>110</v>
      </c>
      <c r="Z65" s="100">
        <f t="shared" si="16"/>
        <v>2899.4365399999997</v>
      </c>
      <c r="AA65" s="113">
        <v>95.05</v>
      </c>
      <c r="AB65" s="114">
        <f t="shared" si="10"/>
        <v>2994.48654</v>
      </c>
    </row>
    <row r="66" spans="1:28" ht="19.5" customHeight="1">
      <c r="A66" s="109" t="s">
        <v>216</v>
      </c>
      <c r="B66" s="110">
        <v>0</v>
      </c>
      <c r="C66" s="110"/>
      <c r="D66" s="103">
        <v>0.08333333333333333</v>
      </c>
      <c r="E66" s="101">
        <f t="shared" si="0"/>
        <v>121.08333333333333</v>
      </c>
      <c r="F66" s="101">
        <f>LOOKUP(B66,'Tabla ANTIG'!$B$5:$B$29,'Tabla ANTIG'!$C$5:$C$29)*E66</f>
        <v>12.108333333333334</v>
      </c>
      <c r="G66" s="111">
        <f>$B$11/15</f>
        <v>0</v>
      </c>
      <c r="H66" s="101">
        <f>LOOKUP(B66,'Tabla ANTIG'!$B$5:$B$29,'Tabla ANTIG'!$C$5:$C$29)*G66</f>
        <v>0</v>
      </c>
      <c r="I66" s="101">
        <f>$B$12*D66</f>
        <v>37.58333333333333</v>
      </c>
      <c r="J66" s="101">
        <f>$B$13/15</f>
        <v>0</v>
      </c>
      <c r="K66" s="101">
        <v>0</v>
      </c>
      <c r="L66" s="101">
        <v>0</v>
      </c>
      <c r="M66" s="101">
        <v>0</v>
      </c>
      <c r="N66" s="104">
        <f>$B$10*D66</f>
        <v>18.166666666666664</v>
      </c>
      <c r="O66" s="101">
        <f>LOOKUP(B66,'Tabla ANTIG'!$B$5:$B$29,'Tabla ANTIG'!$C$5:$C$29)*N66</f>
        <v>1.8166666666666664</v>
      </c>
      <c r="P66" s="101">
        <v>0</v>
      </c>
      <c r="Q66" s="101">
        <v>0</v>
      </c>
      <c r="R66" s="112">
        <f t="shared" si="6"/>
        <v>190.7583333333333</v>
      </c>
      <c r="S66" s="98">
        <f t="shared" si="7"/>
        <v>30.521333333333327</v>
      </c>
      <c r="T66" s="98">
        <f>R66*$T$29</f>
        <v>5.722749999999999</v>
      </c>
      <c r="U66" s="98">
        <v>0</v>
      </c>
      <c r="V66" s="98">
        <f>SUM(S66:U66)</f>
        <v>36.24408333333333</v>
      </c>
      <c r="W66" s="143">
        <f>$B$19/12</f>
        <v>21.25</v>
      </c>
      <c r="X66" s="143">
        <f>$B$20/12</f>
        <v>0</v>
      </c>
      <c r="Y66" s="99">
        <f>$B$18/12</f>
        <v>9.166666666666666</v>
      </c>
      <c r="Z66" s="100">
        <f t="shared" si="16"/>
        <v>184.93091666666663</v>
      </c>
      <c r="AA66" s="113"/>
      <c r="AB66" s="114">
        <f t="shared" si="10"/>
        <v>184.93091666666663</v>
      </c>
    </row>
    <row r="67" spans="1:28" ht="19.5" customHeight="1">
      <c r="A67" s="109" t="s">
        <v>217</v>
      </c>
      <c r="B67" s="110">
        <v>0</v>
      </c>
      <c r="C67" s="110"/>
      <c r="D67" s="103">
        <v>0.08333333333333333</v>
      </c>
      <c r="E67" s="101">
        <f t="shared" si="0"/>
        <v>121.08333333333333</v>
      </c>
      <c r="F67" s="101">
        <f>LOOKUP(B67,'Tabla ANTIG'!$B$5:$B$29,'Tabla ANTIG'!$C$5:$C$29)*E67</f>
        <v>12.108333333333334</v>
      </c>
      <c r="G67" s="111">
        <f>$B$11/15</f>
        <v>0</v>
      </c>
      <c r="H67" s="101">
        <f>LOOKUP(B67,'Tabla ANTIG'!$B$5:$B$29,'Tabla ANTIG'!$C$5:$C$29)*G67</f>
        <v>0</v>
      </c>
      <c r="I67" s="101">
        <f>$B$12*D67</f>
        <v>37.58333333333333</v>
      </c>
      <c r="J67" s="101">
        <f>$B$13/15</f>
        <v>0</v>
      </c>
      <c r="K67" s="101">
        <v>0</v>
      </c>
      <c r="L67" s="101">
        <v>0</v>
      </c>
      <c r="M67" s="101">
        <v>0</v>
      </c>
      <c r="N67" s="104">
        <f>$B$10*D67</f>
        <v>18.166666666666664</v>
      </c>
      <c r="O67" s="101">
        <f>LOOKUP(B67,'Tabla ANTIG'!$B$5:$B$29,'Tabla ANTIG'!$C$5:$C$29)*N67</f>
        <v>1.8166666666666664</v>
      </c>
      <c r="P67" s="101">
        <v>0</v>
      </c>
      <c r="Q67" s="101">
        <v>0</v>
      </c>
      <c r="R67" s="112">
        <f t="shared" si="6"/>
        <v>190.7583333333333</v>
      </c>
      <c r="S67" s="98">
        <f t="shared" si="7"/>
        <v>30.521333333333327</v>
      </c>
      <c r="T67" s="98">
        <f>R67*$T$29</f>
        <v>5.722749999999999</v>
      </c>
      <c r="U67" s="98">
        <v>0</v>
      </c>
      <c r="V67" s="98">
        <f>SUM(S67:U67)</f>
        <v>36.24408333333333</v>
      </c>
      <c r="W67" s="143">
        <f>$B$19/12</f>
        <v>21.25</v>
      </c>
      <c r="X67" s="143">
        <f>$B$20/12</f>
        <v>0</v>
      </c>
      <c r="Y67" s="99">
        <f>$B$18/12</f>
        <v>9.166666666666666</v>
      </c>
      <c r="Z67" s="100">
        <f>R67-V67+W67+Y67+X67</f>
        <v>184.93091666666663</v>
      </c>
      <c r="AA67" s="113"/>
      <c r="AB67" s="114">
        <f t="shared" si="10"/>
        <v>184.93091666666663</v>
      </c>
    </row>
    <row r="68" spans="1:28" ht="19.5" customHeight="1">
      <c r="A68" s="109" t="s">
        <v>14</v>
      </c>
      <c r="B68" s="110">
        <v>0</v>
      </c>
      <c r="C68" s="110"/>
      <c r="D68" s="102">
        <v>1.44</v>
      </c>
      <c r="E68" s="101">
        <f t="shared" si="0"/>
        <v>2092.3199999999997</v>
      </c>
      <c r="F68" s="101">
        <f>LOOKUP(B68,'Tabla ANTIG'!$B$5:$B$29,'Tabla ANTIG'!$C$5:$C$29)*E68</f>
        <v>209.23199999999997</v>
      </c>
      <c r="G68" s="111">
        <f t="shared" si="1"/>
        <v>0</v>
      </c>
      <c r="H68" s="101">
        <f>LOOKUP(B68,'Tabla ANTIG'!$B$5:$B$29,'Tabla ANTIG'!$C$5:$C$29)*G68</f>
        <v>0</v>
      </c>
      <c r="I68" s="101">
        <f t="shared" si="2"/>
        <v>451</v>
      </c>
      <c r="J68" s="101">
        <f t="shared" si="3"/>
        <v>0</v>
      </c>
      <c r="K68" s="101">
        <f aca="true" t="shared" si="17" ref="K68:K74">$B$9*$B$14</f>
        <v>552.14</v>
      </c>
      <c r="L68" s="101">
        <v>0</v>
      </c>
      <c r="M68" s="101">
        <v>0</v>
      </c>
      <c r="N68" s="104">
        <f aca="true" t="shared" si="18" ref="N68:N92">$B$10</f>
        <v>218</v>
      </c>
      <c r="O68" s="101">
        <f>LOOKUP(B68,'Tabla ANTIG'!$B$5:$B$29,'Tabla ANTIG'!$C$5:$C$29)*N68</f>
        <v>21.8</v>
      </c>
      <c r="P68" s="101">
        <v>0</v>
      </c>
      <c r="Q68" s="101">
        <v>0</v>
      </c>
      <c r="R68" s="112">
        <f t="shared" si="6"/>
        <v>3544.4919999999997</v>
      </c>
      <c r="S68" s="98">
        <f t="shared" si="7"/>
        <v>567.1187199999999</v>
      </c>
      <c r="T68" s="98">
        <f>R68*$T$29</f>
        <v>106.33475999999999</v>
      </c>
      <c r="U68" s="98">
        <v>0</v>
      </c>
      <c r="V68" s="98">
        <f>SUM(S68:U68)</f>
        <v>673.4534799999999</v>
      </c>
      <c r="W68" s="143">
        <f t="shared" si="14"/>
        <v>255</v>
      </c>
      <c r="X68" s="143">
        <f t="shared" si="15"/>
        <v>0</v>
      </c>
      <c r="Y68" s="99">
        <f t="shared" si="8"/>
        <v>110</v>
      </c>
      <c r="Z68" s="100">
        <f t="shared" si="16"/>
        <v>3236.03852</v>
      </c>
      <c r="AA68" s="113">
        <v>0</v>
      </c>
      <c r="AB68" s="114">
        <f t="shared" si="10"/>
        <v>3236.03852</v>
      </c>
    </row>
    <row r="69" spans="1:28" ht="19.5" customHeight="1">
      <c r="A69" s="109" t="s">
        <v>15</v>
      </c>
      <c r="B69" s="110">
        <v>0</v>
      </c>
      <c r="C69" s="110"/>
      <c r="D69" s="102">
        <v>1.32</v>
      </c>
      <c r="E69" s="101">
        <f t="shared" si="0"/>
        <v>1917.96</v>
      </c>
      <c r="F69" s="101">
        <f>LOOKUP(B69,'Tabla ANTIG'!$B$5:$B$29,'Tabla ANTIG'!$C$5:$C$29)*E69</f>
        <v>191.79600000000002</v>
      </c>
      <c r="G69" s="111">
        <f t="shared" si="1"/>
        <v>0</v>
      </c>
      <c r="H69" s="101">
        <f>LOOKUP(B69,'Tabla ANTIG'!$B$5:$B$29,'Tabla ANTIG'!$C$5:$C$29)*G69</f>
        <v>0</v>
      </c>
      <c r="I69" s="101">
        <f t="shared" si="2"/>
        <v>451</v>
      </c>
      <c r="J69" s="101">
        <f t="shared" si="3"/>
        <v>0</v>
      </c>
      <c r="K69" s="101">
        <f t="shared" si="17"/>
        <v>552.14</v>
      </c>
      <c r="L69" s="101">
        <v>0</v>
      </c>
      <c r="M69" s="101">
        <v>0</v>
      </c>
      <c r="N69" s="104">
        <f t="shared" si="18"/>
        <v>218</v>
      </c>
      <c r="O69" s="101">
        <f>LOOKUP(B69,'Tabla ANTIG'!$B$5:$B$29,'Tabla ANTIG'!$C$5:$C$29)*N69</f>
        <v>21.8</v>
      </c>
      <c r="P69" s="101">
        <v>0</v>
      </c>
      <c r="Q69" s="104">
        <f aca="true" t="shared" si="19" ref="Q69:Q74">+IF(((E69+F69+K69+N69)-((E69+F69+K69+N69)*0.19))&gt;730,0,730-((E69+F69+K69+N69)-((E69+F69+K69+N69)*0.19)))/0.81</f>
        <v>0</v>
      </c>
      <c r="R69" s="112">
        <f t="shared" si="6"/>
        <v>3352.696</v>
      </c>
      <c r="S69" s="98">
        <f t="shared" si="7"/>
        <v>536.43136</v>
      </c>
      <c r="T69" s="98">
        <f>R69*$T$29</f>
        <v>100.58088</v>
      </c>
      <c r="U69" s="98">
        <v>0</v>
      </c>
      <c r="V69" s="98">
        <f>SUM(S69:U69)</f>
        <v>637.01224</v>
      </c>
      <c r="W69" s="143">
        <f t="shared" si="14"/>
        <v>255</v>
      </c>
      <c r="X69" s="143">
        <f t="shared" si="15"/>
        <v>0</v>
      </c>
      <c r="Y69" s="99">
        <f t="shared" si="8"/>
        <v>110</v>
      </c>
      <c r="Z69" s="100">
        <f t="shared" si="16"/>
        <v>3080.68376</v>
      </c>
      <c r="AA69" s="113">
        <v>16.59</v>
      </c>
      <c r="AB69" s="114">
        <f t="shared" si="10"/>
        <v>3097.27376</v>
      </c>
    </row>
    <row r="70" spans="1:28" ht="19.5" customHeight="1">
      <c r="A70" s="109" t="s">
        <v>16</v>
      </c>
      <c r="B70" s="110">
        <v>0</v>
      </c>
      <c r="C70" s="110"/>
      <c r="D70" s="102">
        <v>1.2</v>
      </c>
      <c r="E70" s="101">
        <f t="shared" si="0"/>
        <v>1743.6</v>
      </c>
      <c r="F70" s="101">
        <f>LOOKUP(B70,'Tabla ANTIG'!$B$5:$B$29,'Tabla ANTIG'!$C$5:$C$29)*E70</f>
        <v>174.36</v>
      </c>
      <c r="G70" s="111">
        <f t="shared" si="1"/>
        <v>0</v>
      </c>
      <c r="H70" s="101">
        <f>LOOKUP(B70,'Tabla ANTIG'!$B$5:$B$29,'Tabla ANTIG'!$C$5:$C$29)*G70</f>
        <v>0</v>
      </c>
      <c r="I70" s="101">
        <f t="shared" si="2"/>
        <v>451</v>
      </c>
      <c r="J70" s="101">
        <f t="shared" si="3"/>
        <v>0</v>
      </c>
      <c r="K70" s="101">
        <f t="shared" si="17"/>
        <v>552.14</v>
      </c>
      <c r="L70" s="101">
        <v>0</v>
      </c>
      <c r="M70" s="101">
        <v>0</v>
      </c>
      <c r="N70" s="104">
        <f t="shared" si="18"/>
        <v>218</v>
      </c>
      <c r="O70" s="101">
        <f>LOOKUP(B70,'Tabla ANTIG'!$B$5:$B$29,'Tabla ANTIG'!$C$5:$C$29)*N70</f>
        <v>21.8</v>
      </c>
      <c r="P70" s="101">
        <v>0</v>
      </c>
      <c r="Q70" s="104">
        <f t="shared" si="19"/>
        <v>0</v>
      </c>
      <c r="R70" s="112">
        <f t="shared" si="6"/>
        <v>3160.9</v>
      </c>
      <c r="S70" s="98">
        <f t="shared" si="7"/>
        <v>505.744</v>
      </c>
      <c r="T70" s="98">
        <f>R70*$T$29</f>
        <v>94.827</v>
      </c>
      <c r="U70" s="98">
        <v>0</v>
      </c>
      <c r="V70" s="98">
        <f>SUM(S70:U70)</f>
        <v>600.571</v>
      </c>
      <c r="W70" s="143">
        <f t="shared" si="14"/>
        <v>255</v>
      </c>
      <c r="X70" s="143">
        <f t="shared" si="15"/>
        <v>0</v>
      </c>
      <c r="Y70" s="99">
        <f t="shared" si="8"/>
        <v>110</v>
      </c>
      <c r="Z70" s="100">
        <f>R70-V70+W70+Y70+X70</f>
        <v>2925.329</v>
      </c>
      <c r="AA70" s="113">
        <v>83.84</v>
      </c>
      <c r="AB70" s="114">
        <f t="shared" si="10"/>
        <v>3009.1690000000003</v>
      </c>
    </row>
    <row r="71" spans="1:30" ht="19.5" customHeight="1">
      <c r="A71" s="115" t="s">
        <v>6</v>
      </c>
      <c r="B71" s="110">
        <v>0</v>
      </c>
      <c r="C71" s="110"/>
      <c r="D71" s="102">
        <v>1</v>
      </c>
      <c r="E71" s="101">
        <f t="shared" si="0"/>
        <v>1453</v>
      </c>
      <c r="F71" s="101">
        <f>LOOKUP(B71,'Tabla ANTIG'!$B$5:$B$29,'Tabla ANTIG'!$C$5:$C$29)*E71</f>
        <v>145.3</v>
      </c>
      <c r="G71" s="111">
        <f t="shared" si="1"/>
        <v>0</v>
      </c>
      <c r="H71" s="101">
        <f>LOOKUP(B71,'Tabla ANTIG'!$B$5:$B$29,'Tabla ANTIG'!$C$5:$C$29)*G71</f>
        <v>0</v>
      </c>
      <c r="I71" s="101">
        <f t="shared" si="2"/>
        <v>451</v>
      </c>
      <c r="J71" s="101">
        <f t="shared" si="3"/>
        <v>0</v>
      </c>
      <c r="K71" s="101">
        <f t="shared" si="17"/>
        <v>552.14</v>
      </c>
      <c r="L71" s="101">
        <v>0</v>
      </c>
      <c r="M71" s="101">
        <v>0</v>
      </c>
      <c r="N71" s="104">
        <f t="shared" si="18"/>
        <v>218</v>
      </c>
      <c r="O71" s="101">
        <f>LOOKUP(B71,'Tabla ANTIG'!$B$5:$B$29,'Tabla ANTIG'!$C$5:$C$29)*N71</f>
        <v>21.8</v>
      </c>
      <c r="P71" s="101">
        <v>0</v>
      </c>
      <c r="Q71" s="104">
        <v>0</v>
      </c>
      <c r="R71" s="112">
        <f>SUM(E71:Q71)</f>
        <v>2841.2400000000002</v>
      </c>
      <c r="S71" s="98">
        <f t="shared" si="7"/>
        <v>454.5984</v>
      </c>
      <c r="T71" s="98">
        <f t="shared" si="12"/>
        <v>85.2372</v>
      </c>
      <c r="U71" s="98">
        <v>0</v>
      </c>
      <c r="V71" s="98">
        <f t="shared" si="13"/>
        <v>539.8356</v>
      </c>
      <c r="W71" s="143">
        <f t="shared" si="14"/>
        <v>255</v>
      </c>
      <c r="X71" s="143">
        <f t="shared" si="15"/>
        <v>0</v>
      </c>
      <c r="Y71" s="99">
        <f t="shared" si="8"/>
        <v>110</v>
      </c>
      <c r="Z71" s="100">
        <f t="shared" si="16"/>
        <v>2666.4044000000004</v>
      </c>
      <c r="AA71" s="113">
        <v>195.94</v>
      </c>
      <c r="AB71" s="114">
        <f t="shared" si="10"/>
        <v>2862.3444000000004</v>
      </c>
      <c r="AD71" s="137"/>
    </row>
    <row r="72" spans="1:28" ht="19.5" customHeight="1">
      <c r="A72" s="109" t="s">
        <v>2</v>
      </c>
      <c r="B72" s="110">
        <v>0</v>
      </c>
      <c r="C72" s="110"/>
      <c r="D72" s="102">
        <v>1.44</v>
      </c>
      <c r="E72" s="101">
        <f t="shared" si="0"/>
        <v>2092.3199999999997</v>
      </c>
      <c r="F72" s="101">
        <f>LOOKUP(B72,'Tabla ANTIG'!$B$5:$B$29,'Tabla ANTIG'!$C$5:$C$29)*E72</f>
        <v>209.23199999999997</v>
      </c>
      <c r="G72" s="111">
        <f t="shared" si="1"/>
        <v>0</v>
      </c>
      <c r="H72" s="101">
        <f>LOOKUP(B72,'Tabla ANTIG'!$B$5:$B$29,'Tabla ANTIG'!$C$5:$C$29)*G72</f>
        <v>0</v>
      </c>
      <c r="I72" s="101">
        <f t="shared" si="2"/>
        <v>451</v>
      </c>
      <c r="J72" s="101">
        <f t="shared" si="3"/>
        <v>0</v>
      </c>
      <c r="K72" s="101">
        <f t="shared" si="17"/>
        <v>552.14</v>
      </c>
      <c r="L72" s="101">
        <v>0</v>
      </c>
      <c r="M72" s="101">
        <v>0</v>
      </c>
      <c r="N72" s="104">
        <f t="shared" si="18"/>
        <v>218</v>
      </c>
      <c r="O72" s="101">
        <f>LOOKUP(B72,'Tabla ANTIG'!$B$5:$B$29,'Tabla ANTIG'!$C$5:$C$29)*N72</f>
        <v>21.8</v>
      </c>
      <c r="P72" s="101">
        <v>0</v>
      </c>
      <c r="Q72" s="104">
        <f t="shared" si="19"/>
        <v>0</v>
      </c>
      <c r="R72" s="112">
        <f t="shared" si="6"/>
        <v>3544.4919999999997</v>
      </c>
      <c r="S72" s="98">
        <f>R72*$S$29</f>
        <v>567.1187199999999</v>
      </c>
      <c r="T72" s="98">
        <f>R72*$T$29</f>
        <v>106.33475999999999</v>
      </c>
      <c r="U72" s="98">
        <v>0</v>
      </c>
      <c r="V72" s="98">
        <f>SUM(S72:U72)</f>
        <v>673.4534799999999</v>
      </c>
      <c r="W72" s="143">
        <f t="shared" si="14"/>
        <v>255</v>
      </c>
      <c r="X72" s="143">
        <f t="shared" si="15"/>
        <v>0</v>
      </c>
      <c r="Y72" s="99">
        <f t="shared" si="8"/>
        <v>110</v>
      </c>
      <c r="Z72" s="100">
        <f>R72-V72+W72+Y72+X72</f>
        <v>3236.03852</v>
      </c>
      <c r="AA72" s="113">
        <f>IF(((E72+K72+N72+Q72)-((E72+K72+N72+Q72)*0.19))&gt;930,0,930-((E72+K72+N72+Q72)-((E72+K72+N72+Q72)*0.19)))</f>
        <v>0</v>
      </c>
      <c r="AB72" s="114">
        <f t="shared" si="10"/>
        <v>3236.03852</v>
      </c>
    </row>
    <row r="73" spans="1:28" ht="19.5" customHeight="1">
      <c r="A73" s="109" t="s">
        <v>5</v>
      </c>
      <c r="B73" s="110">
        <v>0</v>
      </c>
      <c r="C73" s="110"/>
      <c r="D73" s="102">
        <v>1.1</v>
      </c>
      <c r="E73" s="101">
        <f t="shared" si="0"/>
        <v>1598.3000000000002</v>
      </c>
      <c r="F73" s="101">
        <f>LOOKUP(B73,'Tabla ANTIG'!$B$5:$B$29,'Tabla ANTIG'!$C$5:$C$29)*E73</f>
        <v>159.83000000000004</v>
      </c>
      <c r="G73" s="111">
        <f t="shared" si="1"/>
        <v>0</v>
      </c>
      <c r="H73" s="101">
        <f>LOOKUP(B73,'Tabla ANTIG'!$B$5:$B$29,'Tabla ANTIG'!$C$5:$C$29)*G73</f>
        <v>0</v>
      </c>
      <c r="I73" s="101">
        <f t="shared" si="2"/>
        <v>451</v>
      </c>
      <c r="J73" s="101">
        <f t="shared" si="3"/>
        <v>0</v>
      </c>
      <c r="K73" s="101">
        <f t="shared" si="17"/>
        <v>552.14</v>
      </c>
      <c r="L73" s="101">
        <v>0</v>
      </c>
      <c r="M73" s="101">
        <v>0</v>
      </c>
      <c r="N73" s="104">
        <f t="shared" si="18"/>
        <v>218</v>
      </c>
      <c r="O73" s="101">
        <f>LOOKUP(B73,'Tabla ANTIG'!$B$5:$B$29,'Tabla ANTIG'!$C$5:$C$29)*N73</f>
        <v>21.8</v>
      </c>
      <c r="P73" s="101">
        <v>0</v>
      </c>
      <c r="Q73" s="104">
        <f t="shared" si="19"/>
        <v>0</v>
      </c>
      <c r="R73" s="112">
        <f t="shared" si="6"/>
        <v>3001.07</v>
      </c>
      <c r="S73" s="98">
        <f>R73*$S$29</f>
        <v>480.17120000000006</v>
      </c>
      <c r="T73" s="98">
        <f>R73*$T$29</f>
        <v>90.0321</v>
      </c>
      <c r="U73" s="98">
        <v>0</v>
      </c>
      <c r="V73" s="98">
        <f>SUM(S73:U73)</f>
        <v>570.2033</v>
      </c>
      <c r="W73" s="143">
        <f t="shared" si="14"/>
        <v>255</v>
      </c>
      <c r="X73" s="143">
        <f t="shared" si="15"/>
        <v>0</v>
      </c>
      <c r="Y73" s="99">
        <f t="shared" si="8"/>
        <v>110</v>
      </c>
      <c r="Z73" s="100">
        <f t="shared" si="16"/>
        <v>2795.8667</v>
      </c>
      <c r="AA73" s="113">
        <v>139.89</v>
      </c>
      <c r="AB73" s="114">
        <f t="shared" si="10"/>
        <v>2935.7567</v>
      </c>
    </row>
    <row r="74" spans="1:28" ht="19.5" customHeight="1">
      <c r="A74" s="109" t="s">
        <v>4</v>
      </c>
      <c r="B74" s="110">
        <v>0</v>
      </c>
      <c r="C74" s="110"/>
      <c r="D74" s="102">
        <v>1.1</v>
      </c>
      <c r="E74" s="101">
        <f t="shared" si="0"/>
        <v>1598.3000000000002</v>
      </c>
      <c r="F74" s="101">
        <f>LOOKUP(B74,'Tabla ANTIG'!$B$5:$B$29,'Tabla ANTIG'!$C$5:$C$29)*E74</f>
        <v>159.83000000000004</v>
      </c>
      <c r="G74" s="111">
        <f t="shared" si="1"/>
        <v>0</v>
      </c>
      <c r="H74" s="101">
        <f>LOOKUP(B74,'Tabla ANTIG'!$B$5:$B$29,'Tabla ANTIG'!$C$5:$C$29)*G74</f>
        <v>0</v>
      </c>
      <c r="I74" s="101">
        <f t="shared" si="2"/>
        <v>451</v>
      </c>
      <c r="J74" s="101">
        <f t="shared" si="3"/>
        <v>0</v>
      </c>
      <c r="K74" s="101">
        <f t="shared" si="17"/>
        <v>552.14</v>
      </c>
      <c r="L74" s="101">
        <v>0</v>
      </c>
      <c r="M74" s="101">
        <v>0</v>
      </c>
      <c r="N74" s="104">
        <f t="shared" si="18"/>
        <v>218</v>
      </c>
      <c r="O74" s="101">
        <f>LOOKUP(B74,'Tabla ANTIG'!$B$5:$B$29,'Tabla ANTIG'!$C$5:$C$29)*N74</f>
        <v>21.8</v>
      </c>
      <c r="P74" s="101">
        <v>0</v>
      </c>
      <c r="Q74" s="104">
        <f t="shared" si="19"/>
        <v>0</v>
      </c>
      <c r="R74" s="112">
        <f t="shared" si="6"/>
        <v>3001.07</v>
      </c>
      <c r="S74" s="98">
        <f>R74*$S$29</f>
        <v>480.17120000000006</v>
      </c>
      <c r="T74" s="98">
        <f>R74*$T$29</f>
        <v>90.0321</v>
      </c>
      <c r="U74" s="98">
        <v>0</v>
      </c>
      <c r="V74" s="98">
        <f>SUM(S74:U74)</f>
        <v>570.2033</v>
      </c>
      <c r="W74" s="143">
        <f t="shared" si="14"/>
        <v>255</v>
      </c>
      <c r="X74" s="143">
        <f t="shared" si="15"/>
        <v>0</v>
      </c>
      <c r="Y74" s="99">
        <f t="shared" si="8"/>
        <v>110</v>
      </c>
      <c r="Z74" s="100">
        <f t="shared" si="16"/>
        <v>2795.8667</v>
      </c>
      <c r="AA74" s="113">
        <v>139.89</v>
      </c>
      <c r="AB74" s="114">
        <f t="shared" si="10"/>
        <v>2935.7567</v>
      </c>
    </row>
    <row r="75" spans="1:28" s="3" customFormat="1" ht="19.5" customHeight="1">
      <c r="A75" s="158" t="s">
        <v>135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60"/>
    </row>
    <row r="76" spans="1:28" ht="19.5" customHeight="1">
      <c r="A76" s="131" t="s">
        <v>206</v>
      </c>
      <c r="B76" s="110">
        <v>0</v>
      </c>
      <c r="C76" s="110"/>
      <c r="D76" s="102">
        <v>3</v>
      </c>
      <c r="E76" s="101">
        <f aca="true" t="shared" si="20" ref="E76:E122">D76*$B$9</f>
        <v>4359</v>
      </c>
      <c r="F76" s="101">
        <f>LOOKUP(B76,'Tabla ANTIG'!$B$5:$B$29,'Tabla ANTIG'!$C$5:$C$29)*E76</f>
        <v>435.90000000000003</v>
      </c>
      <c r="G76" s="111">
        <f aca="true" t="shared" si="21" ref="G76:G101">$B$11</f>
        <v>0</v>
      </c>
      <c r="H76" s="101">
        <f>LOOKUP(B76,'Tabla ANTIG'!$B$5:$B$29,'Tabla ANTIG'!$C$5:$C$29)*G76</f>
        <v>0</v>
      </c>
      <c r="I76" s="101">
        <f aca="true" t="shared" si="22" ref="I76:I101">$B$12</f>
        <v>451</v>
      </c>
      <c r="J76" s="101">
        <f aca="true" t="shared" si="23" ref="J76:J101">$B$13</f>
        <v>0</v>
      </c>
      <c r="K76" s="101">
        <v>0</v>
      </c>
      <c r="L76" s="101">
        <v>0</v>
      </c>
      <c r="M76" s="101">
        <v>0</v>
      </c>
      <c r="N76" s="104">
        <f t="shared" si="18"/>
        <v>218</v>
      </c>
      <c r="O76" s="101">
        <f>LOOKUP(B76,'Tabla ANTIG'!$B$5:$B$29,'Tabla ANTIG'!$C$5:$C$29)*N76</f>
        <v>21.8</v>
      </c>
      <c r="P76" s="101">
        <v>0</v>
      </c>
      <c r="Q76" s="104">
        <f aca="true" t="shared" si="24" ref="Q76:Q92">+IF(((E76+F76+K76+N76)-((E76+F76+K76+N76)*0.19))&gt;730,0,730-((E76+F76+K76+N76)-((E76+F76+K76+N76)*0.19)))/0.81</f>
        <v>0</v>
      </c>
      <c r="R76" s="112">
        <f aca="true" t="shared" si="25" ref="R76:R101">SUM(E76:Q76)</f>
        <v>5485.7</v>
      </c>
      <c r="S76" s="98">
        <f>R76*$S$29</f>
        <v>877.712</v>
      </c>
      <c r="T76" s="98">
        <f aca="true" t="shared" si="26" ref="T76:T101">R76*$T$29</f>
        <v>164.571</v>
      </c>
      <c r="U76" s="98">
        <f aca="true" t="shared" si="27" ref="U76:U101">R76*$U$29</f>
        <v>246.85649999999998</v>
      </c>
      <c r="V76" s="98">
        <f aca="true" t="shared" si="28" ref="V76:V101">SUM(S76:U76)</f>
        <v>1289.1394999999998</v>
      </c>
      <c r="W76" s="143">
        <f t="shared" si="14"/>
        <v>255</v>
      </c>
      <c r="X76" s="143">
        <f>$B$20</f>
        <v>0</v>
      </c>
      <c r="Y76" s="99">
        <f t="shared" si="8"/>
        <v>110</v>
      </c>
      <c r="Z76" s="100">
        <f t="shared" si="16"/>
        <v>4561.5605</v>
      </c>
      <c r="AA76" s="113">
        <f aca="true" t="shared" si="29" ref="AA76:AA92">IF(((E76+K76+N76+Q76)-((E76+K76+N76+Q76)*0.19))&gt;930,0,930-((E76+K76+N76+Q76)-((E76+K76+N76+Q76)*0.19)))</f>
        <v>0</v>
      </c>
      <c r="AB76" s="114">
        <f aca="true" t="shared" si="30" ref="AB76:AB101">SUM(Z76:AA76)</f>
        <v>4561.5605</v>
      </c>
    </row>
    <row r="77" spans="1:28" ht="19.5" customHeight="1">
      <c r="A77" s="109" t="s">
        <v>8</v>
      </c>
      <c r="B77" s="110">
        <v>0</v>
      </c>
      <c r="C77" s="110"/>
      <c r="D77" s="102">
        <v>2.4</v>
      </c>
      <c r="E77" s="101">
        <f t="shared" si="20"/>
        <v>3487.2</v>
      </c>
      <c r="F77" s="101">
        <f>LOOKUP(B77,'Tabla ANTIG'!$B$5:$B$29,'Tabla ANTIG'!$C$5:$C$29)*E77</f>
        <v>348.72</v>
      </c>
      <c r="G77" s="111">
        <f t="shared" si="21"/>
        <v>0</v>
      </c>
      <c r="H77" s="101">
        <f>LOOKUP(B77,'Tabla ANTIG'!$B$5:$B$29,'Tabla ANTIG'!$C$5:$C$29)*G77</f>
        <v>0</v>
      </c>
      <c r="I77" s="101">
        <f t="shared" si="22"/>
        <v>451</v>
      </c>
      <c r="J77" s="101">
        <f t="shared" si="23"/>
        <v>0</v>
      </c>
      <c r="K77" s="101">
        <v>0</v>
      </c>
      <c r="L77" s="101">
        <v>0</v>
      </c>
      <c r="M77" s="101">
        <v>0</v>
      </c>
      <c r="N77" s="104">
        <f t="shared" si="18"/>
        <v>218</v>
      </c>
      <c r="O77" s="101">
        <f>LOOKUP(B77,'Tabla ANTIG'!$B$5:$B$29,'Tabla ANTIG'!$C$5:$C$29)*N77</f>
        <v>21.8</v>
      </c>
      <c r="P77" s="101">
        <v>0</v>
      </c>
      <c r="Q77" s="104">
        <f t="shared" si="24"/>
        <v>0</v>
      </c>
      <c r="R77" s="112">
        <f t="shared" si="25"/>
        <v>4526.72</v>
      </c>
      <c r="S77" s="98">
        <f aca="true" t="shared" si="31" ref="S77:S98">R77*$S$29</f>
        <v>724.2752</v>
      </c>
      <c r="T77" s="98">
        <f t="shared" si="26"/>
        <v>135.8016</v>
      </c>
      <c r="U77" s="98">
        <f t="shared" si="27"/>
        <v>203.7024</v>
      </c>
      <c r="V77" s="98">
        <f t="shared" si="28"/>
        <v>1063.7792</v>
      </c>
      <c r="W77" s="143">
        <f t="shared" si="14"/>
        <v>255</v>
      </c>
      <c r="X77" s="143">
        <f aca="true" t="shared" si="32" ref="X77:X101">$B$20</f>
        <v>0</v>
      </c>
      <c r="Y77" s="99">
        <f t="shared" si="8"/>
        <v>110</v>
      </c>
      <c r="Z77" s="100">
        <f t="shared" si="16"/>
        <v>3827.9408000000003</v>
      </c>
      <c r="AA77" s="113">
        <f t="shared" si="29"/>
        <v>0</v>
      </c>
      <c r="AB77" s="114">
        <f t="shared" si="30"/>
        <v>3827.9408000000003</v>
      </c>
    </row>
    <row r="78" spans="1:28" ht="19.5" customHeight="1">
      <c r="A78" s="109" t="s">
        <v>7</v>
      </c>
      <c r="B78" s="110">
        <v>0</v>
      </c>
      <c r="C78" s="110"/>
      <c r="D78" s="102">
        <v>2.7</v>
      </c>
      <c r="E78" s="101">
        <f t="shared" si="20"/>
        <v>3923.1000000000004</v>
      </c>
      <c r="F78" s="101">
        <f>LOOKUP(B78,'Tabla ANTIG'!$B$5:$B$29,'Tabla ANTIG'!$C$5:$C$29)*E78</f>
        <v>392.31000000000006</v>
      </c>
      <c r="G78" s="111">
        <f t="shared" si="21"/>
        <v>0</v>
      </c>
      <c r="H78" s="101">
        <f>LOOKUP(B78,'Tabla ANTIG'!$B$5:$B$29,'Tabla ANTIG'!$C$5:$C$29)*G78</f>
        <v>0</v>
      </c>
      <c r="I78" s="101">
        <f t="shared" si="22"/>
        <v>451</v>
      </c>
      <c r="J78" s="101">
        <f t="shared" si="23"/>
        <v>0</v>
      </c>
      <c r="K78" s="101">
        <v>0</v>
      </c>
      <c r="L78" s="101">
        <v>0</v>
      </c>
      <c r="M78" s="101">
        <v>0</v>
      </c>
      <c r="N78" s="104">
        <f t="shared" si="18"/>
        <v>218</v>
      </c>
      <c r="O78" s="101">
        <f>LOOKUP(B78,'Tabla ANTIG'!$B$5:$B$29,'Tabla ANTIG'!$C$5:$C$29)*N78</f>
        <v>21.8</v>
      </c>
      <c r="P78" s="101">
        <v>0</v>
      </c>
      <c r="Q78" s="104">
        <f t="shared" si="24"/>
        <v>0</v>
      </c>
      <c r="R78" s="112">
        <f t="shared" si="25"/>
        <v>5006.210000000001</v>
      </c>
      <c r="S78" s="98">
        <f t="shared" si="31"/>
        <v>800.9936000000001</v>
      </c>
      <c r="T78" s="98">
        <f t="shared" si="26"/>
        <v>150.18630000000002</v>
      </c>
      <c r="U78" s="98">
        <f t="shared" si="27"/>
        <v>225.27945000000003</v>
      </c>
      <c r="V78" s="98">
        <f t="shared" si="28"/>
        <v>1176.45935</v>
      </c>
      <c r="W78" s="143">
        <f t="shared" si="14"/>
        <v>255</v>
      </c>
      <c r="X78" s="143">
        <f t="shared" si="32"/>
        <v>0</v>
      </c>
      <c r="Y78" s="99">
        <f t="shared" si="8"/>
        <v>110</v>
      </c>
      <c r="Z78" s="100">
        <f t="shared" si="16"/>
        <v>4194.750650000001</v>
      </c>
      <c r="AA78" s="113">
        <f t="shared" si="29"/>
        <v>0</v>
      </c>
      <c r="AB78" s="114">
        <f t="shared" si="30"/>
        <v>4194.750650000001</v>
      </c>
    </row>
    <row r="79" spans="1:28" ht="19.5" customHeight="1">
      <c r="A79" s="109" t="s">
        <v>114</v>
      </c>
      <c r="B79" s="110">
        <v>0</v>
      </c>
      <c r="C79" s="110"/>
      <c r="D79" s="102">
        <v>2.7</v>
      </c>
      <c r="E79" s="101">
        <f t="shared" si="20"/>
        <v>3923.1000000000004</v>
      </c>
      <c r="F79" s="101">
        <f>LOOKUP(B79,'Tabla ANTIG'!$B$5:$B$29,'Tabla ANTIG'!$C$5:$C$29)*E79</f>
        <v>392.31000000000006</v>
      </c>
      <c r="G79" s="111">
        <f t="shared" si="21"/>
        <v>0</v>
      </c>
      <c r="H79" s="101">
        <f>LOOKUP(B79,'Tabla ANTIG'!$B$5:$B$29,'Tabla ANTIG'!$C$5:$C$29)*G79</f>
        <v>0</v>
      </c>
      <c r="I79" s="101">
        <f t="shared" si="22"/>
        <v>451</v>
      </c>
      <c r="J79" s="101">
        <f t="shared" si="23"/>
        <v>0</v>
      </c>
      <c r="K79" s="101">
        <v>0</v>
      </c>
      <c r="L79" s="101">
        <v>0</v>
      </c>
      <c r="M79" s="101">
        <v>0</v>
      </c>
      <c r="N79" s="104">
        <f t="shared" si="18"/>
        <v>218</v>
      </c>
      <c r="O79" s="101">
        <f>LOOKUP(B79,'Tabla ANTIG'!$B$5:$B$29,'Tabla ANTIG'!$C$5:$C$29)*N79</f>
        <v>21.8</v>
      </c>
      <c r="P79" s="101">
        <v>0</v>
      </c>
      <c r="Q79" s="104">
        <f t="shared" si="24"/>
        <v>0</v>
      </c>
      <c r="R79" s="112">
        <f t="shared" si="25"/>
        <v>5006.210000000001</v>
      </c>
      <c r="S79" s="98">
        <f t="shared" si="31"/>
        <v>800.9936000000001</v>
      </c>
      <c r="T79" s="98">
        <f t="shared" si="26"/>
        <v>150.18630000000002</v>
      </c>
      <c r="U79" s="98">
        <f t="shared" si="27"/>
        <v>225.27945000000003</v>
      </c>
      <c r="V79" s="98">
        <f t="shared" si="28"/>
        <v>1176.45935</v>
      </c>
      <c r="W79" s="143">
        <f t="shared" si="14"/>
        <v>255</v>
      </c>
      <c r="X79" s="143">
        <f t="shared" si="32"/>
        <v>0</v>
      </c>
      <c r="Y79" s="99">
        <f t="shared" si="8"/>
        <v>110</v>
      </c>
      <c r="Z79" s="100">
        <f t="shared" si="16"/>
        <v>4194.750650000001</v>
      </c>
      <c r="AA79" s="113">
        <f t="shared" si="29"/>
        <v>0</v>
      </c>
      <c r="AB79" s="114">
        <f t="shared" si="30"/>
        <v>4194.750650000001</v>
      </c>
    </row>
    <row r="80" spans="1:28" ht="19.5" customHeight="1">
      <c r="A80" s="109" t="s">
        <v>115</v>
      </c>
      <c r="B80" s="110">
        <v>0</v>
      </c>
      <c r="C80" s="110"/>
      <c r="D80" s="102">
        <v>3</v>
      </c>
      <c r="E80" s="101">
        <f t="shared" si="20"/>
        <v>4359</v>
      </c>
      <c r="F80" s="101">
        <f>LOOKUP(B80,'Tabla ANTIG'!$B$5:$B$29,'Tabla ANTIG'!$C$5:$C$29)*E80</f>
        <v>435.90000000000003</v>
      </c>
      <c r="G80" s="111">
        <f t="shared" si="21"/>
        <v>0</v>
      </c>
      <c r="H80" s="101">
        <f>LOOKUP(B80,'Tabla ANTIG'!$B$5:$B$29,'Tabla ANTIG'!$C$5:$C$29)*G80</f>
        <v>0</v>
      </c>
      <c r="I80" s="101">
        <f t="shared" si="22"/>
        <v>451</v>
      </c>
      <c r="J80" s="101">
        <f t="shared" si="23"/>
        <v>0</v>
      </c>
      <c r="K80" s="101">
        <v>0</v>
      </c>
      <c r="L80" s="101">
        <v>0</v>
      </c>
      <c r="M80" s="101">
        <v>0</v>
      </c>
      <c r="N80" s="104">
        <f t="shared" si="18"/>
        <v>218</v>
      </c>
      <c r="O80" s="101">
        <f>LOOKUP(B80,'Tabla ANTIG'!$B$5:$B$29,'Tabla ANTIG'!$C$5:$C$29)*N80</f>
        <v>21.8</v>
      </c>
      <c r="P80" s="101">
        <v>0</v>
      </c>
      <c r="Q80" s="104">
        <f t="shared" si="24"/>
        <v>0</v>
      </c>
      <c r="R80" s="112">
        <f t="shared" si="25"/>
        <v>5485.7</v>
      </c>
      <c r="S80" s="98">
        <f t="shared" si="31"/>
        <v>877.712</v>
      </c>
      <c r="T80" s="98">
        <f t="shared" si="26"/>
        <v>164.571</v>
      </c>
      <c r="U80" s="98">
        <f t="shared" si="27"/>
        <v>246.85649999999998</v>
      </c>
      <c r="V80" s="98">
        <f t="shared" si="28"/>
        <v>1289.1394999999998</v>
      </c>
      <c r="W80" s="143">
        <f t="shared" si="14"/>
        <v>255</v>
      </c>
      <c r="X80" s="143">
        <f t="shared" si="32"/>
        <v>0</v>
      </c>
      <c r="Y80" s="99">
        <f t="shared" si="8"/>
        <v>110</v>
      </c>
      <c r="Z80" s="100">
        <f t="shared" si="16"/>
        <v>4561.5605</v>
      </c>
      <c r="AA80" s="113">
        <f t="shared" si="29"/>
        <v>0</v>
      </c>
      <c r="AB80" s="114">
        <f t="shared" si="30"/>
        <v>4561.5605</v>
      </c>
    </row>
    <row r="81" spans="1:28" ht="19.5" customHeight="1">
      <c r="A81" s="109" t="s">
        <v>10</v>
      </c>
      <c r="B81" s="110">
        <v>0</v>
      </c>
      <c r="C81" s="110"/>
      <c r="D81" s="102">
        <v>2.16</v>
      </c>
      <c r="E81" s="101">
        <f t="shared" si="20"/>
        <v>3138.48</v>
      </c>
      <c r="F81" s="101">
        <f>LOOKUP(B81,'Tabla ANTIG'!$B$5:$B$29,'Tabla ANTIG'!$C$5:$C$29)*E81</f>
        <v>313.848</v>
      </c>
      <c r="G81" s="111">
        <f t="shared" si="21"/>
        <v>0</v>
      </c>
      <c r="H81" s="101">
        <f>LOOKUP(B81,'Tabla ANTIG'!$B$5:$B$29,'Tabla ANTIG'!$C$5:$C$29)*G81</f>
        <v>0</v>
      </c>
      <c r="I81" s="101">
        <f t="shared" si="22"/>
        <v>451</v>
      </c>
      <c r="J81" s="101">
        <f t="shared" si="23"/>
        <v>0</v>
      </c>
      <c r="K81" s="101">
        <v>0</v>
      </c>
      <c r="L81" s="101">
        <v>0</v>
      </c>
      <c r="M81" s="101">
        <v>0</v>
      </c>
      <c r="N81" s="104">
        <f t="shared" si="18"/>
        <v>218</v>
      </c>
      <c r="O81" s="101">
        <f>LOOKUP(B81,'Tabla ANTIG'!$B$5:$B$29,'Tabla ANTIG'!$C$5:$C$29)*N81</f>
        <v>21.8</v>
      </c>
      <c r="P81" s="101">
        <v>0</v>
      </c>
      <c r="Q81" s="104">
        <f t="shared" si="24"/>
        <v>0</v>
      </c>
      <c r="R81" s="112">
        <f t="shared" si="25"/>
        <v>4143.128</v>
      </c>
      <c r="S81" s="98">
        <f t="shared" si="31"/>
        <v>662.90048</v>
      </c>
      <c r="T81" s="98">
        <f t="shared" si="26"/>
        <v>124.29383999999999</v>
      </c>
      <c r="U81" s="98">
        <f t="shared" si="27"/>
        <v>186.44075999999998</v>
      </c>
      <c r="V81" s="98">
        <f t="shared" si="28"/>
        <v>973.63508</v>
      </c>
      <c r="W81" s="143">
        <f t="shared" si="14"/>
        <v>255</v>
      </c>
      <c r="X81" s="143">
        <f t="shared" si="32"/>
        <v>0</v>
      </c>
      <c r="Y81" s="99">
        <f t="shared" si="8"/>
        <v>110</v>
      </c>
      <c r="Z81" s="100">
        <f t="shared" si="16"/>
        <v>3534.4929199999997</v>
      </c>
      <c r="AA81" s="113">
        <f t="shared" si="29"/>
        <v>0</v>
      </c>
      <c r="AB81" s="114">
        <f t="shared" si="30"/>
        <v>3534.4929199999997</v>
      </c>
    </row>
    <row r="82" spans="1:28" ht="19.5" customHeight="1">
      <c r="A82" s="109" t="s">
        <v>9</v>
      </c>
      <c r="B82" s="110">
        <v>0</v>
      </c>
      <c r="C82" s="110"/>
      <c r="D82" s="102">
        <v>2.4</v>
      </c>
      <c r="E82" s="101">
        <f t="shared" si="20"/>
        <v>3487.2</v>
      </c>
      <c r="F82" s="101">
        <f>LOOKUP(B82,'Tabla ANTIG'!$B$5:$B$29,'Tabla ANTIG'!$C$5:$C$29)*E82</f>
        <v>348.72</v>
      </c>
      <c r="G82" s="111">
        <f t="shared" si="21"/>
        <v>0</v>
      </c>
      <c r="H82" s="101">
        <f>LOOKUP(B82,'Tabla ANTIG'!$B$5:$B$29,'Tabla ANTIG'!$C$5:$C$29)*G82</f>
        <v>0</v>
      </c>
      <c r="I82" s="101">
        <f t="shared" si="22"/>
        <v>451</v>
      </c>
      <c r="J82" s="101">
        <f t="shared" si="23"/>
        <v>0</v>
      </c>
      <c r="K82" s="101">
        <v>0</v>
      </c>
      <c r="L82" s="101">
        <v>0</v>
      </c>
      <c r="M82" s="101">
        <v>0</v>
      </c>
      <c r="N82" s="104">
        <f t="shared" si="18"/>
        <v>218</v>
      </c>
      <c r="O82" s="101">
        <f>LOOKUP(B82,'Tabla ANTIG'!$B$5:$B$29,'Tabla ANTIG'!$C$5:$C$29)*N82</f>
        <v>21.8</v>
      </c>
      <c r="P82" s="101">
        <v>0</v>
      </c>
      <c r="Q82" s="104">
        <f t="shared" si="24"/>
        <v>0</v>
      </c>
      <c r="R82" s="112">
        <f t="shared" si="25"/>
        <v>4526.72</v>
      </c>
      <c r="S82" s="98">
        <f t="shared" si="31"/>
        <v>724.2752</v>
      </c>
      <c r="T82" s="98">
        <f t="shared" si="26"/>
        <v>135.8016</v>
      </c>
      <c r="U82" s="98">
        <f t="shared" si="27"/>
        <v>203.7024</v>
      </c>
      <c r="V82" s="98">
        <f t="shared" si="28"/>
        <v>1063.7792</v>
      </c>
      <c r="W82" s="143">
        <f t="shared" si="14"/>
        <v>255</v>
      </c>
      <c r="X82" s="143">
        <f t="shared" si="32"/>
        <v>0</v>
      </c>
      <c r="Y82" s="99">
        <f t="shared" si="8"/>
        <v>110</v>
      </c>
      <c r="Z82" s="100">
        <f t="shared" si="16"/>
        <v>3827.9408000000003</v>
      </c>
      <c r="AA82" s="113">
        <f t="shared" si="29"/>
        <v>0</v>
      </c>
      <c r="AB82" s="114">
        <f t="shared" si="30"/>
        <v>3827.9408000000003</v>
      </c>
    </row>
    <row r="83" spans="1:28" ht="19.5" customHeight="1">
      <c r="A83" s="109" t="s">
        <v>136</v>
      </c>
      <c r="B83" s="110">
        <v>0</v>
      </c>
      <c r="C83" s="110"/>
      <c r="D83" s="102">
        <v>2.16</v>
      </c>
      <c r="E83" s="101">
        <f t="shared" si="20"/>
        <v>3138.48</v>
      </c>
      <c r="F83" s="101">
        <f>LOOKUP(B83,'Tabla ANTIG'!$B$5:$B$29,'Tabla ANTIG'!$C$5:$C$29)*E83</f>
        <v>313.848</v>
      </c>
      <c r="G83" s="111">
        <f t="shared" si="21"/>
        <v>0</v>
      </c>
      <c r="H83" s="101">
        <f>LOOKUP(B83,'Tabla ANTIG'!$B$5:$B$29,'Tabla ANTIG'!$C$5:$C$29)*G83</f>
        <v>0</v>
      </c>
      <c r="I83" s="101">
        <f t="shared" si="22"/>
        <v>451</v>
      </c>
      <c r="J83" s="101">
        <f t="shared" si="23"/>
        <v>0</v>
      </c>
      <c r="K83" s="101">
        <v>0</v>
      </c>
      <c r="L83" s="101">
        <v>0</v>
      </c>
      <c r="M83" s="101">
        <v>0</v>
      </c>
      <c r="N83" s="104">
        <f t="shared" si="18"/>
        <v>218</v>
      </c>
      <c r="O83" s="101">
        <f>LOOKUP(B83,'Tabla ANTIG'!$B$5:$B$29,'Tabla ANTIG'!$C$5:$C$29)*N83</f>
        <v>21.8</v>
      </c>
      <c r="P83" s="101">
        <v>0</v>
      </c>
      <c r="Q83" s="104">
        <f t="shared" si="24"/>
        <v>0</v>
      </c>
      <c r="R83" s="112">
        <f t="shared" si="25"/>
        <v>4143.128</v>
      </c>
      <c r="S83" s="98">
        <f>R83*$S$29</f>
        <v>662.90048</v>
      </c>
      <c r="T83" s="98">
        <f t="shared" si="26"/>
        <v>124.29383999999999</v>
      </c>
      <c r="U83" s="98">
        <f t="shared" si="27"/>
        <v>186.44075999999998</v>
      </c>
      <c r="V83" s="98">
        <f t="shared" si="28"/>
        <v>973.63508</v>
      </c>
      <c r="W83" s="143">
        <f t="shared" si="14"/>
        <v>255</v>
      </c>
      <c r="X83" s="143">
        <f t="shared" si="32"/>
        <v>0</v>
      </c>
      <c r="Y83" s="99">
        <f t="shared" si="8"/>
        <v>110</v>
      </c>
      <c r="Z83" s="100">
        <f t="shared" si="16"/>
        <v>3534.4929199999997</v>
      </c>
      <c r="AA83" s="113">
        <f t="shared" si="29"/>
        <v>0</v>
      </c>
      <c r="AB83" s="114">
        <f t="shared" si="30"/>
        <v>3534.4929199999997</v>
      </c>
    </row>
    <row r="84" spans="1:28" ht="19.5" customHeight="1">
      <c r="A84" s="109" t="s">
        <v>17</v>
      </c>
      <c r="B84" s="110">
        <v>0</v>
      </c>
      <c r="C84" s="110"/>
      <c r="D84" s="102">
        <v>2.4</v>
      </c>
      <c r="E84" s="101">
        <f t="shared" si="20"/>
        <v>3487.2</v>
      </c>
      <c r="F84" s="101">
        <f>LOOKUP(B84,'Tabla ANTIG'!$B$5:$B$29,'Tabla ANTIG'!$C$5:$C$29)*E84</f>
        <v>348.72</v>
      </c>
      <c r="G84" s="111">
        <f t="shared" si="21"/>
        <v>0</v>
      </c>
      <c r="H84" s="101">
        <f>LOOKUP(B84,'Tabla ANTIG'!$B$5:$B$29,'Tabla ANTIG'!$C$5:$C$29)*G84</f>
        <v>0</v>
      </c>
      <c r="I84" s="101">
        <f t="shared" si="22"/>
        <v>451</v>
      </c>
      <c r="J84" s="101">
        <f t="shared" si="23"/>
        <v>0</v>
      </c>
      <c r="K84" s="101">
        <v>0</v>
      </c>
      <c r="L84" s="101">
        <v>0</v>
      </c>
      <c r="M84" s="101">
        <v>0</v>
      </c>
      <c r="N84" s="104">
        <f t="shared" si="18"/>
        <v>218</v>
      </c>
      <c r="O84" s="101">
        <f>LOOKUP(B84,'Tabla ANTIG'!$B$5:$B$29,'Tabla ANTIG'!$C$5:$C$29)*N84</f>
        <v>21.8</v>
      </c>
      <c r="P84" s="101">
        <v>0</v>
      </c>
      <c r="Q84" s="104">
        <f t="shared" si="24"/>
        <v>0</v>
      </c>
      <c r="R84" s="112">
        <f t="shared" si="25"/>
        <v>4526.72</v>
      </c>
      <c r="S84" s="98">
        <f>R84*$S$29</f>
        <v>724.2752</v>
      </c>
      <c r="T84" s="98">
        <f t="shared" si="26"/>
        <v>135.8016</v>
      </c>
      <c r="U84" s="98">
        <f t="shared" si="27"/>
        <v>203.7024</v>
      </c>
      <c r="V84" s="98">
        <f t="shared" si="28"/>
        <v>1063.7792</v>
      </c>
      <c r="W84" s="143">
        <f t="shared" si="14"/>
        <v>255</v>
      </c>
      <c r="X84" s="143">
        <f t="shared" si="32"/>
        <v>0</v>
      </c>
      <c r="Y84" s="99">
        <f t="shared" si="8"/>
        <v>110</v>
      </c>
      <c r="Z84" s="100">
        <f t="shared" si="16"/>
        <v>3827.9408000000003</v>
      </c>
      <c r="AA84" s="113">
        <f t="shared" si="29"/>
        <v>0</v>
      </c>
      <c r="AB84" s="114">
        <f t="shared" si="30"/>
        <v>3827.9408000000003</v>
      </c>
    </row>
    <row r="85" spans="1:28" ht="19.5" customHeight="1">
      <c r="A85" s="109" t="s">
        <v>11</v>
      </c>
      <c r="B85" s="110">
        <v>0</v>
      </c>
      <c r="C85" s="110"/>
      <c r="D85" s="102">
        <v>2.04</v>
      </c>
      <c r="E85" s="101">
        <f t="shared" si="20"/>
        <v>2964.12</v>
      </c>
      <c r="F85" s="101">
        <f>LOOKUP(B85,'Tabla ANTIG'!$B$5:$B$29,'Tabla ANTIG'!$C$5:$C$29)*E85</f>
        <v>296.412</v>
      </c>
      <c r="G85" s="111">
        <f t="shared" si="21"/>
        <v>0</v>
      </c>
      <c r="H85" s="101">
        <f>LOOKUP(B85,'Tabla ANTIG'!$B$5:$B$29,'Tabla ANTIG'!$C$5:$C$29)*G85</f>
        <v>0</v>
      </c>
      <c r="I85" s="101">
        <f t="shared" si="22"/>
        <v>451</v>
      </c>
      <c r="J85" s="101">
        <f t="shared" si="23"/>
        <v>0</v>
      </c>
      <c r="K85" s="101">
        <v>0</v>
      </c>
      <c r="L85" s="101">
        <v>0</v>
      </c>
      <c r="M85" s="101">
        <v>0</v>
      </c>
      <c r="N85" s="104">
        <f t="shared" si="18"/>
        <v>218</v>
      </c>
      <c r="O85" s="101">
        <f>LOOKUP(B85,'Tabla ANTIG'!$B$5:$B$29,'Tabla ANTIG'!$C$5:$C$29)*N85</f>
        <v>21.8</v>
      </c>
      <c r="P85" s="101">
        <v>0</v>
      </c>
      <c r="Q85" s="104">
        <f t="shared" si="24"/>
        <v>0</v>
      </c>
      <c r="R85" s="112">
        <f t="shared" si="25"/>
        <v>3951.332</v>
      </c>
      <c r="S85" s="98">
        <f t="shared" si="31"/>
        <v>632.21312</v>
      </c>
      <c r="T85" s="98">
        <f t="shared" si="26"/>
        <v>118.53996</v>
      </c>
      <c r="U85" s="98">
        <f t="shared" si="27"/>
        <v>177.80993999999998</v>
      </c>
      <c r="V85" s="98">
        <f t="shared" si="28"/>
        <v>928.5630199999999</v>
      </c>
      <c r="W85" s="143">
        <f t="shared" si="14"/>
        <v>255</v>
      </c>
      <c r="X85" s="143">
        <f t="shared" si="32"/>
        <v>0</v>
      </c>
      <c r="Y85" s="99">
        <f t="shared" si="8"/>
        <v>110</v>
      </c>
      <c r="Z85" s="100">
        <f t="shared" si="16"/>
        <v>3387.76898</v>
      </c>
      <c r="AA85" s="113">
        <f t="shared" si="29"/>
        <v>0</v>
      </c>
      <c r="AB85" s="114">
        <f t="shared" si="30"/>
        <v>3387.76898</v>
      </c>
    </row>
    <row r="86" spans="1:28" ht="19.5" customHeight="1">
      <c r="A86" s="109" t="s">
        <v>149</v>
      </c>
      <c r="B86" s="110">
        <v>0</v>
      </c>
      <c r="C86" s="110"/>
      <c r="D86" s="102">
        <v>2.16</v>
      </c>
      <c r="E86" s="101">
        <f t="shared" si="20"/>
        <v>3138.48</v>
      </c>
      <c r="F86" s="101">
        <f>LOOKUP(B86,'Tabla ANTIG'!$B$5:$B$29,'Tabla ANTIG'!$C$5:$C$29)*E86</f>
        <v>313.848</v>
      </c>
      <c r="G86" s="111">
        <f t="shared" si="21"/>
        <v>0</v>
      </c>
      <c r="H86" s="101">
        <f>LOOKUP(B86,'Tabla ANTIG'!$B$5:$B$29,'Tabla ANTIG'!$C$5:$C$29)*G86</f>
        <v>0</v>
      </c>
      <c r="I86" s="101">
        <f t="shared" si="22"/>
        <v>451</v>
      </c>
      <c r="J86" s="101">
        <f t="shared" si="23"/>
        <v>0</v>
      </c>
      <c r="K86" s="101">
        <v>0</v>
      </c>
      <c r="L86" s="101">
        <v>0</v>
      </c>
      <c r="M86" s="101">
        <v>0</v>
      </c>
      <c r="N86" s="104">
        <f t="shared" si="18"/>
        <v>218</v>
      </c>
      <c r="O86" s="101">
        <f>LOOKUP(B86,'Tabla ANTIG'!$B$5:$B$29,'Tabla ANTIG'!$C$5:$C$29)*N86</f>
        <v>21.8</v>
      </c>
      <c r="P86" s="101">
        <v>0</v>
      </c>
      <c r="Q86" s="104">
        <f t="shared" si="24"/>
        <v>0</v>
      </c>
      <c r="R86" s="112">
        <f t="shared" si="25"/>
        <v>4143.128</v>
      </c>
      <c r="S86" s="98">
        <f>R86*$S$29</f>
        <v>662.90048</v>
      </c>
      <c r="T86" s="98">
        <f t="shared" si="26"/>
        <v>124.29383999999999</v>
      </c>
      <c r="U86" s="98">
        <f t="shared" si="27"/>
        <v>186.44075999999998</v>
      </c>
      <c r="V86" s="98">
        <f t="shared" si="28"/>
        <v>973.63508</v>
      </c>
      <c r="W86" s="143">
        <f t="shared" si="14"/>
        <v>255</v>
      </c>
      <c r="X86" s="143">
        <f t="shared" si="32"/>
        <v>0</v>
      </c>
      <c r="Y86" s="99">
        <f t="shared" si="8"/>
        <v>110</v>
      </c>
      <c r="Z86" s="100">
        <f t="shared" si="16"/>
        <v>3534.4929199999997</v>
      </c>
      <c r="AA86" s="113">
        <f t="shared" si="29"/>
        <v>0</v>
      </c>
      <c r="AB86" s="114">
        <f t="shared" si="30"/>
        <v>3534.4929199999997</v>
      </c>
    </row>
    <row r="87" spans="1:28" ht="19.5" customHeight="1">
      <c r="A87" s="109" t="s">
        <v>19</v>
      </c>
      <c r="B87" s="110">
        <v>0</v>
      </c>
      <c r="C87" s="110"/>
      <c r="D87" s="102">
        <v>2.16</v>
      </c>
      <c r="E87" s="101">
        <f t="shared" si="20"/>
        <v>3138.48</v>
      </c>
      <c r="F87" s="101">
        <f>LOOKUP(B87,'Tabla ANTIG'!$B$5:$B$29,'Tabla ANTIG'!$C$5:$C$29)*E87</f>
        <v>313.848</v>
      </c>
      <c r="G87" s="111">
        <f t="shared" si="21"/>
        <v>0</v>
      </c>
      <c r="H87" s="101">
        <f>LOOKUP(B87,'Tabla ANTIG'!$B$5:$B$29,'Tabla ANTIG'!$C$5:$C$29)*G87</f>
        <v>0</v>
      </c>
      <c r="I87" s="101">
        <f t="shared" si="22"/>
        <v>451</v>
      </c>
      <c r="J87" s="101">
        <f t="shared" si="23"/>
        <v>0</v>
      </c>
      <c r="K87" s="101">
        <v>0</v>
      </c>
      <c r="L87" s="101">
        <v>0</v>
      </c>
      <c r="M87" s="101">
        <v>0</v>
      </c>
      <c r="N87" s="104">
        <f t="shared" si="18"/>
        <v>218</v>
      </c>
      <c r="O87" s="101">
        <f>LOOKUP(B87,'Tabla ANTIG'!$B$5:$B$29,'Tabla ANTIG'!$C$5:$C$29)*N87</f>
        <v>21.8</v>
      </c>
      <c r="P87" s="101">
        <v>0</v>
      </c>
      <c r="Q87" s="104">
        <f t="shared" si="24"/>
        <v>0</v>
      </c>
      <c r="R87" s="112">
        <f t="shared" si="25"/>
        <v>4143.128</v>
      </c>
      <c r="S87" s="98">
        <f t="shared" si="31"/>
        <v>662.90048</v>
      </c>
      <c r="T87" s="98">
        <f t="shared" si="26"/>
        <v>124.29383999999999</v>
      </c>
      <c r="U87" s="98">
        <f t="shared" si="27"/>
        <v>186.44075999999998</v>
      </c>
      <c r="V87" s="98">
        <f t="shared" si="28"/>
        <v>973.63508</v>
      </c>
      <c r="W87" s="143">
        <f aca="true" t="shared" si="33" ref="W87:W132">$B$19</f>
        <v>255</v>
      </c>
      <c r="X87" s="143">
        <f t="shared" si="32"/>
        <v>0</v>
      </c>
      <c r="Y87" s="99">
        <f t="shared" si="8"/>
        <v>110</v>
      </c>
      <c r="Z87" s="100">
        <f t="shared" si="16"/>
        <v>3534.4929199999997</v>
      </c>
      <c r="AA87" s="113">
        <f t="shared" si="29"/>
        <v>0</v>
      </c>
      <c r="AB87" s="114">
        <f t="shared" si="30"/>
        <v>3534.4929199999997</v>
      </c>
    </row>
    <row r="88" spans="1:28" ht="19.5" customHeight="1">
      <c r="A88" s="109" t="s">
        <v>131</v>
      </c>
      <c r="B88" s="110">
        <v>0</v>
      </c>
      <c r="C88" s="110"/>
      <c r="D88" s="102">
        <v>1.7</v>
      </c>
      <c r="E88" s="101">
        <f t="shared" si="20"/>
        <v>2470.1</v>
      </c>
      <c r="F88" s="101">
        <f>LOOKUP(B88,'Tabla ANTIG'!$B$5:$B$29,'Tabla ANTIG'!$C$5:$C$29)*E88</f>
        <v>247.01</v>
      </c>
      <c r="G88" s="111">
        <f t="shared" si="21"/>
        <v>0</v>
      </c>
      <c r="H88" s="101">
        <f>LOOKUP(B88,'Tabla ANTIG'!$B$5:$B$29,'Tabla ANTIG'!$C$5:$C$29)*G88</f>
        <v>0</v>
      </c>
      <c r="I88" s="101">
        <f t="shared" si="22"/>
        <v>451</v>
      </c>
      <c r="J88" s="101">
        <f t="shared" si="23"/>
        <v>0</v>
      </c>
      <c r="K88" s="101">
        <v>0</v>
      </c>
      <c r="L88" s="101">
        <v>0</v>
      </c>
      <c r="M88" s="101">
        <v>0</v>
      </c>
      <c r="N88" s="104">
        <f t="shared" si="18"/>
        <v>218</v>
      </c>
      <c r="O88" s="101">
        <f>LOOKUP(B88,'Tabla ANTIG'!$B$5:$B$29,'Tabla ANTIG'!$C$5:$C$29)*N88</f>
        <v>21.8</v>
      </c>
      <c r="P88" s="101">
        <v>0</v>
      </c>
      <c r="Q88" s="104">
        <f t="shared" si="24"/>
        <v>0</v>
      </c>
      <c r="R88" s="112">
        <f t="shared" si="25"/>
        <v>3407.91</v>
      </c>
      <c r="S88" s="98">
        <f t="shared" si="31"/>
        <v>545.2656</v>
      </c>
      <c r="T88" s="98">
        <f t="shared" si="26"/>
        <v>102.23729999999999</v>
      </c>
      <c r="U88" s="98">
        <f t="shared" si="27"/>
        <v>153.35594999999998</v>
      </c>
      <c r="V88" s="98">
        <f t="shared" si="28"/>
        <v>800.85885</v>
      </c>
      <c r="W88" s="143">
        <f t="shared" si="33"/>
        <v>255</v>
      </c>
      <c r="X88" s="143">
        <f t="shared" si="32"/>
        <v>0</v>
      </c>
      <c r="Y88" s="99">
        <f t="shared" si="8"/>
        <v>110</v>
      </c>
      <c r="Z88" s="100">
        <f t="shared" si="16"/>
        <v>2972.05115</v>
      </c>
      <c r="AA88" s="113">
        <f t="shared" si="29"/>
        <v>0</v>
      </c>
      <c r="AB88" s="114">
        <f t="shared" si="30"/>
        <v>2972.05115</v>
      </c>
    </row>
    <row r="89" spans="1:28" ht="19.5" customHeight="1">
      <c r="A89" s="109" t="s">
        <v>1</v>
      </c>
      <c r="B89" s="110">
        <v>0</v>
      </c>
      <c r="C89" s="110"/>
      <c r="D89" s="102">
        <v>1.8</v>
      </c>
      <c r="E89" s="101">
        <f t="shared" si="20"/>
        <v>2615.4</v>
      </c>
      <c r="F89" s="101">
        <f>LOOKUP(B89,'Tabla ANTIG'!$B$5:$B$29,'Tabla ANTIG'!$C$5:$C$29)*E89</f>
        <v>261.54</v>
      </c>
      <c r="G89" s="111">
        <f t="shared" si="21"/>
        <v>0</v>
      </c>
      <c r="H89" s="101">
        <f>LOOKUP(B89,'Tabla ANTIG'!$B$5:$B$29,'Tabla ANTIG'!$C$5:$C$29)*G89</f>
        <v>0</v>
      </c>
      <c r="I89" s="101">
        <f t="shared" si="22"/>
        <v>451</v>
      </c>
      <c r="J89" s="101">
        <f t="shared" si="23"/>
        <v>0</v>
      </c>
      <c r="K89" s="101">
        <v>0</v>
      </c>
      <c r="L89" s="101">
        <v>0</v>
      </c>
      <c r="M89" s="101">
        <v>0</v>
      </c>
      <c r="N89" s="104">
        <f t="shared" si="18"/>
        <v>218</v>
      </c>
      <c r="O89" s="101">
        <f>LOOKUP(B89,'Tabla ANTIG'!$B$5:$B$29,'Tabla ANTIG'!$C$5:$C$29)*N89</f>
        <v>21.8</v>
      </c>
      <c r="P89" s="101">
        <v>0</v>
      </c>
      <c r="Q89" s="104">
        <f t="shared" si="24"/>
        <v>0</v>
      </c>
      <c r="R89" s="112">
        <f t="shared" si="25"/>
        <v>3567.7400000000002</v>
      </c>
      <c r="S89" s="98">
        <f t="shared" si="31"/>
        <v>570.8384000000001</v>
      </c>
      <c r="T89" s="98">
        <f t="shared" si="26"/>
        <v>107.0322</v>
      </c>
      <c r="U89" s="98">
        <f t="shared" si="27"/>
        <v>160.5483</v>
      </c>
      <c r="V89" s="98">
        <f t="shared" si="28"/>
        <v>838.4189000000001</v>
      </c>
      <c r="W89" s="143">
        <f t="shared" si="33"/>
        <v>255</v>
      </c>
      <c r="X89" s="143">
        <f t="shared" si="32"/>
        <v>0</v>
      </c>
      <c r="Y89" s="99">
        <f t="shared" si="8"/>
        <v>110</v>
      </c>
      <c r="Z89" s="100">
        <f t="shared" si="16"/>
        <v>3094.3211</v>
      </c>
      <c r="AA89" s="113">
        <f t="shared" si="29"/>
        <v>0</v>
      </c>
      <c r="AB89" s="114">
        <f t="shared" si="30"/>
        <v>3094.3211</v>
      </c>
    </row>
    <row r="90" spans="1:28" ht="19.5" customHeight="1">
      <c r="A90" s="109" t="s">
        <v>137</v>
      </c>
      <c r="B90" s="110">
        <v>0</v>
      </c>
      <c r="C90" s="110"/>
      <c r="D90" s="102">
        <v>2.04</v>
      </c>
      <c r="E90" s="101">
        <f t="shared" si="20"/>
        <v>2964.12</v>
      </c>
      <c r="F90" s="101">
        <f>LOOKUP(B90,'Tabla ANTIG'!$B$5:$B$29,'Tabla ANTIG'!$C$5:$C$29)*E90</f>
        <v>296.412</v>
      </c>
      <c r="G90" s="111">
        <f t="shared" si="21"/>
        <v>0</v>
      </c>
      <c r="H90" s="101">
        <f>LOOKUP(B90,'Tabla ANTIG'!$B$5:$B$29,'Tabla ANTIG'!$C$5:$C$29)*G90</f>
        <v>0</v>
      </c>
      <c r="I90" s="101">
        <f t="shared" si="22"/>
        <v>451</v>
      </c>
      <c r="J90" s="101">
        <f t="shared" si="23"/>
        <v>0</v>
      </c>
      <c r="K90" s="101">
        <v>0</v>
      </c>
      <c r="L90" s="101">
        <v>0</v>
      </c>
      <c r="M90" s="101">
        <v>0</v>
      </c>
      <c r="N90" s="104">
        <f t="shared" si="18"/>
        <v>218</v>
      </c>
      <c r="O90" s="101">
        <f>LOOKUP(B90,'Tabla ANTIG'!$B$5:$B$29,'Tabla ANTIG'!$C$5:$C$29)*N90</f>
        <v>21.8</v>
      </c>
      <c r="P90" s="101">
        <v>0</v>
      </c>
      <c r="Q90" s="104">
        <f t="shared" si="24"/>
        <v>0</v>
      </c>
      <c r="R90" s="112">
        <f t="shared" si="25"/>
        <v>3951.332</v>
      </c>
      <c r="S90" s="98">
        <f t="shared" si="31"/>
        <v>632.21312</v>
      </c>
      <c r="T90" s="98">
        <f t="shared" si="26"/>
        <v>118.53996</v>
      </c>
      <c r="U90" s="98">
        <f t="shared" si="27"/>
        <v>177.80993999999998</v>
      </c>
      <c r="V90" s="98">
        <f t="shared" si="28"/>
        <v>928.5630199999999</v>
      </c>
      <c r="W90" s="143">
        <f t="shared" si="33"/>
        <v>255</v>
      </c>
      <c r="X90" s="143">
        <f t="shared" si="32"/>
        <v>0</v>
      </c>
      <c r="Y90" s="99">
        <f t="shared" si="8"/>
        <v>110</v>
      </c>
      <c r="Z90" s="100">
        <f t="shared" si="16"/>
        <v>3387.76898</v>
      </c>
      <c r="AA90" s="113">
        <f t="shared" si="29"/>
        <v>0</v>
      </c>
      <c r="AB90" s="114">
        <f t="shared" si="30"/>
        <v>3387.76898</v>
      </c>
    </row>
    <row r="91" spans="1:28" ht="19.5" customHeight="1">
      <c r="A91" s="109" t="s">
        <v>3</v>
      </c>
      <c r="B91" s="110">
        <v>0</v>
      </c>
      <c r="C91" s="110"/>
      <c r="D91" s="102">
        <v>1.5</v>
      </c>
      <c r="E91" s="101">
        <f t="shared" si="20"/>
        <v>2179.5</v>
      </c>
      <c r="F91" s="101">
        <f>LOOKUP(B91,'Tabla ANTIG'!$B$5:$B$29,'Tabla ANTIG'!$C$5:$C$29)*E91</f>
        <v>217.95000000000002</v>
      </c>
      <c r="G91" s="111">
        <f t="shared" si="21"/>
        <v>0</v>
      </c>
      <c r="H91" s="101">
        <f>LOOKUP(B91,'Tabla ANTIG'!$B$5:$B$29,'Tabla ANTIG'!$C$5:$C$29)*G91</f>
        <v>0</v>
      </c>
      <c r="I91" s="101">
        <f t="shared" si="22"/>
        <v>451</v>
      </c>
      <c r="J91" s="101">
        <f t="shared" si="23"/>
        <v>0</v>
      </c>
      <c r="K91" s="101">
        <v>0</v>
      </c>
      <c r="L91" s="101">
        <v>0</v>
      </c>
      <c r="M91" s="101">
        <v>0</v>
      </c>
      <c r="N91" s="104">
        <f t="shared" si="18"/>
        <v>218</v>
      </c>
      <c r="O91" s="101">
        <f>LOOKUP(B91,'Tabla ANTIG'!$B$5:$B$29,'Tabla ANTIG'!$C$5:$C$29)*N91</f>
        <v>21.8</v>
      </c>
      <c r="P91" s="101">
        <v>0</v>
      </c>
      <c r="Q91" s="104">
        <f t="shared" si="24"/>
        <v>0</v>
      </c>
      <c r="R91" s="112">
        <f t="shared" si="25"/>
        <v>3088.25</v>
      </c>
      <c r="S91" s="98">
        <f t="shared" si="31"/>
        <v>494.12</v>
      </c>
      <c r="T91" s="98">
        <f t="shared" si="26"/>
        <v>92.6475</v>
      </c>
      <c r="U91" s="98">
        <f t="shared" si="27"/>
        <v>138.97125</v>
      </c>
      <c r="V91" s="98">
        <f t="shared" si="28"/>
        <v>725.73875</v>
      </c>
      <c r="W91" s="143">
        <f t="shared" si="33"/>
        <v>255</v>
      </c>
      <c r="X91" s="143">
        <f t="shared" si="32"/>
        <v>0</v>
      </c>
      <c r="Y91" s="99">
        <f t="shared" si="8"/>
        <v>110</v>
      </c>
      <c r="Z91" s="100">
        <f t="shared" si="16"/>
        <v>2727.51125</v>
      </c>
      <c r="AA91" s="113">
        <f t="shared" si="29"/>
        <v>0</v>
      </c>
      <c r="AB91" s="114">
        <f t="shared" si="30"/>
        <v>2727.51125</v>
      </c>
    </row>
    <row r="92" spans="1:28" ht="19.5" customHeight="1">
      <c r="A92" s="109" t="s">
        <v>138</v>
      </c>
      <c r="B92" s="110">
        <v>0</v>
      </c>
      <c r="C92" s="110"/>
      <c r="D92" s="102">
        <v>1.5</v>
      </c>
      <c r="E92" s="101">
        <f t="shared" si="20"/>
        <v>2179.5</v>
      </c>
      <c r="F92" s="101">
        <f>LOOKUP(B92,'Tabla ANTIG'!$B$5:$B$29,'Tabla ANTIG'!$C$5:$C$29)*E92</f>
        <v>217.95000000000002</v>
      </c>
      <c r="G92" s="111">
        <f t="shared" si="21"/>
        <v>0</v>
      </c>
      <c r="H92" s="101">
        <f>LOOKUP(B92,'Tabla ANTIG'!$B$5:$B$29,'Tabla ANTIG'!$C$5:$C$29)*G92</f>
        <v>0</v>
      </c>
      <c r="I92" s="101">
        <f t="shared" si="22"/>
        <v>451</v>
      </c>
      <c r="J92" s="101">
        <f t="shared" si="23"/>
        <v>0</v>
      </c>
      <c r="K92" s="101">
        <v>0</v>
      </c>
      <c r="L92" s="101">
        <v>0</v>
      </c>
      <c r="M92" s="101">
        <v>0</v>
      </c>
      <c r="N92" s="104">
        <f t="shared" si="18"/>
        <v>218</v>
      </c>
      <c r="O92" s="101">
        <f>LOOKUP(B92,'Tabla ANTIG'!$B$5:$B$29,'Tabla ANTIG'!$C$5:$C$29)*N92</f>
        <v>21.8</v>
      </c>
      <c r="P92" s="101">
        <v>0</v>
      </c>
      <c r="Q92" s="104">
        <f t="shared" si="24"/>
        <v>0</v>
      </c>
      <c r="R92" s="112">
        <f t="shared" si="25"/>
        <v>3088.25</v>
      </c>
      <c r="S92" s="98">
        <f t="shared" si="31"/>
        <v>494.12</v>
      </c>
      <c r="T92" s="98">
        <f t="shared" si="26"/>
        <v>92.6475</v>
      </c>
      <c r="U92" s="98">
        <f t="shared" si="27"/>
        <v>138.97125</v>
      </c>
      <c r="V92" s="98">
        <f t="shared" si="28"/>
        <v>725.73875</v>
      </c>
      <c r="W92" s="143">
        <f t="shared" si="33"/>
        <v>255</v>
      </c>
      <c r="X92" s="143">
        <f t="shared" si="32"/>
        <v>0</v>
      </c>
      <c r="Y92" s="99">
        <f t="shared" si="8"/>
        <v>110</v>
      </c>
      <c r="Z92" s="100">
        <f t="shared" si="16"/>
        <v>2727.51125</v>
      </c>
      <c r="AA92" s="113">
        <f t="shared" si="29"/>
        <v>0</v>
      </c>
      <c r="AB92" s="114">
        <f t="shared" si="30"/>
        <v>2727.51125</v>
      </c>
    </row>
    <row r="93" spans="1:28" ht="19.5" customHeight="1">
      <c r="A93" s="115" t="s">
        <v>139</v>
      </c>
      <c r="B93" s="116">
        <v>0</v>
      </c>
      <c r="C93" s="116"/>
      <c r="D93" s="103">
        <v>0.06666666666666667</v>
      </c>
      <c r="E93" s="101">
        <f t="shared" si="20"/>
        <v>96.86666666666666</v>
      </c>
      <c r="F93" s="101">
        <f>LOOKUP(B93,'Tabla ANTIG'!$B$5:$B$29,'Tabla ANTIG'!$C$5:$C$29)*E93</f>
        <v>9.686666666666667</v>
      </c>
      <c r="G93" s="111">
        <f>$B$11/22.5</f>
        <v>0</v>
      </c>
      <c r="H93" s="101">
        <f>LOOKUP(B93,'Tabla ANTIG'!$B$5:$B$29,'Tabla ANTIG'!$C$5:$C$29)*G93</f>
        <v>0</v>
      </c>
      <c r="I93" s="101">
        <f>$B$12*D93</f>
        <v>30.066666666666666</v>
      </c>
      <c r="J93" s="101">
        <f>$B$13/22.5</f>
        <v>0</v>
      </c>
      <c r="K93" s="101">
        <v>0</v>
      </c>
      <c r="L93" s="101">
        <v>0</v>
      </c>
      <c r="M93" s="101">
        <v>0</v>
      </c>
      <c r="N93" s="104">
        <f>$B$10*D93</f>
        <v>14.533333333333333</v>
      </c>
      <c r="O93" s="101">
        <f>LOOKUP(B93,'Tabla ANTIG'!$B$5:$B$29,'Tabla ANTIG'!$C$5:$C$29)*N93</f>
        <v>1.4533333333333334</v>
      </c>
      <c r="P93" s="101">
        <v>0</v>
      </c>
      <c r="Q93" s="101">
        <v>0</v>
      </c>
      <c r="R93" s="112">
        <f t="shared" si="25"/>
        <v>152.60666666666668</v>
      </c>
      <c r="S93" s="98">
        <f>R93*$S$29</f>
        <v>24.41706666666667</v>
      </c>
      <c r="T93" s="98">
        <f t="shared" si="26"/>
        <v>4.578200000000001</v>
      </c>
      <c r="U93" s="98">
        <f t="shared" si="27"/>
        <v>6.8673</v>
      </c>
      <c r="V93" s="98">
        <f t="shared" si="28"/>
        <v>35.86256666666667</v>
      </c>
      <c r="W93" s="143">
        <f>$B$19/15</f>
        <v>17</v>
      </c>
      <c r="X93" s="143">
        <f>$B$20/15</f>
        <v>0</v>
      </c>
      <c r="Y93" s="99">
        <f>$B$18/15</f>
        <v>7.333333333333333</v>
      </c>
      <c r="Z93" s="100">
        <f t="shared" si="16"/>
        <v>141.07743333333335</v>
      </c>
      <c r="AA93" s="113"/>
      <c r="AB93" s="114">
        <f t="shared" si="30"/>
        <v>141.07743333333335</v>
      </c>
    </row>
    <row r="94" spans="1:28" ht="19.5" customHeight="1">
      <c r="A94" s="115" t="s">
        <v>134</v>
      </c>
      <c r="B94" s="116">
        <v>0</v>
      </c>
      <c r="C94" s="116"/>
      <c r="D94" s="103">
        <v>0.1</v>
      </c>
      <c r="E94" s="101">
        <f t="shared" si="20"/>
        <v>145.3</v>
      </c>
      <c r="F94" s="101">
        <f>LOOKUP(B94,'Tabla ANTIG'!$B$5:$B$29,'Tabla ANTIG'!$C$5:$C$29)*E94</f>
        <v>14.530000000000001</v>
      </c>
      <c r="G94" s="111">
        <f>$B$11*D93</f>
        <v>0</v>
      </c>
      <c r="H94" s="101">
        <f>LOOKUP(B94,'Tabla ANTIG'!$B$5:$B$29,'Tabla ANTIG'!$C$5:$C$29)*G94</f>
        <v>0</v>
      </c>
      <c r="I94" s="101">
        <f>$B$12*D94</f>
        <v>45.1</v>
      </c>
      <c r="J94" s="101">
        <f>$B$13*D93</f>
        <v>0</v>
      </c>
      <c r="K94" s="101">
        <v>0</v>
      </c>
      <c r="L94" s="101">
        <v>0</v>
      </c>
      <c r="M94" s="101">
        <v>0</v>
      </c>
      <c r="N94" s="104">
        <f>$B$10*D94</f>
        <v>21.8</v>
      </c>
      <c r="O94" s="101">
        <f>LOOKUP(B94,'Tabla ANTIG'!$B$5:$B$29,'Tabla ANTIG'!$C$5:$C$29)*N94</f>
        <v>2.18</v>
      </c>
      <c r="P94" s="101">
        <v>0</v>
      </c>
      <c r="Q94" s="101">
        <v>0</v>
      </c>
      <c r="R94" s="112">
        <f t="shared" si="25"/>
        <v>228.91000000000003</v>
      </c>
      <c r="S94" s="98">
        <f>R94*$S$29</f>
        <v>36.625600000000006</v>
      </c>
      <c r="T94" s="98">
        <f t="shared" si="26"/>
        <v>6.8673</v>
      </c>
      <c r="U94" s="98">
        <f t="shared" si="27"/>
        <v>10.30095</v>
      </c>
      <c r="V94" s="98">
        <f t="shared" si="28"/>
        <v>53.793850000000006</v>
      </c>
      <c r="W94" s="143">
        <f>$B$19/10</f>
        <v>25.5</v>
      </c>
      <c r="X94" s="143">
        <f>$B$20/10</f>
        <v>0</v>
      </c>
      <c r="Y94" s="99">
        <f>$B$18/10</f>
        <v>11</v>
      </c>
      <c r="Z94" s="100">
        <f t="shared" si="16"/>
        <v>211.61615</v>
      </c>
      <c r="AA94" s="113"/>
      <c r="AB94" s="114">
        <f t="shared" si="30"/>
        <v>211.61615</v>
      </c>
    </row>
    <row r="95" spans="1:28" ht="19.5" customHeight="1">
      <c r="A95" s="109" t="s">
        <v>14</v>
      </c>
      <c r="B95" s="110">
        <v>0</v>
      </c>
      <c r="C95" s="110"/>
      <c r="D95" s="102">
        <v>1.44</v>
      </c>
      <c r="E95" s="101">
        <f t="shared" si="20"/>
        <v>2092.3199999999997</v>
      </c>
      <c r="F95" s="101">
        <f>LOOKUP(B95,'Tabla ANTIG'!$B$5:$B$29,'Tabla ANTIG'!$C$5:$C$29)*E95</f>
        <v>209.23199999999997</v>
      </c>
      <c r="G95" s="111">
        <f t="shared" si="21"/>
        <v>0</v>
      </c>
      <c r="H95" s="101">
        <f>LOOKUP(B95,'Tabla ANTIG'!$B$5:$B$29,'Tabla ANTIG'!$C$5:$C$29)*G95</f>
        <v>0</v>
      </c>
      <c r="I95" s="101">
        <f t="shared" si="22"/>
        <v>451</v>
      </c>
      <c r="J95" s="101">
        <f t="shared" si="23"/>
        <v>0</v>
      </c>
      <c r="K95" s="101">
        <f>$B$9*$B$15</f>
        <v>363.25</v>
      </c>
      <c r="L95" s="101">
        <v>0</v>
      </c>
      <c r="M95" s="101">
        <v>0</v>
      </c>
      <c r="N95" s="104">
        <f aca="true" t="shared" si="34" ref="N95:N122">$B$10</f>
        <v>218</v>
      </c>
      <c r="O95" s="101">
        <f>LOOKUP(B95,'Tabla ANTIG'!$B$5:$B$29,'Tabla ANTIG'!$C$5:$C$29)*N95</f>
        <v>21.8</v>
      </c>
      <c r="P95" s="101">
        <v>0</v>
      </c>
      <c r="Q95" s="104">
        <f aca="true" t="shared" si="35" ref="Q95:Q101">+IF(((E95+F95+K95+N95)-((E95+F95+K95+N95)*0.19))&gt;730,0,730-((E95+F95+K95+N95)-((E95+F95+K95+N95)*0.19)))/0.81</f>
        <v>0</v>
      </c>
      <c r="R95" s="112">
        <f t="shared" si="25"/>
        <v>3355.602</v>
      </c>
      <c r="S95" s="98">
        <f t="shared" si="31"/>
        <v>536.89632</v>
      </c>
      <c r="T95" s="98">
        <f t="shared" si="26"/>
        <v>100.66806</v>
      </c>
      <c r="U95" s="98">
        <f t="shared" si="27"/>
        <v>151.00208999999998</v>
      </c>
      <c r="V95" s="98">
        <f t="shared" si="28"/>
        <v>788.5664699999999</v>
      </c>
      <c r="W95" s="143">
        <f t="shared" si="33"/>
        <v>255</v>
      </c>
      <c r="X95" s="143">
        <f t="shared" si="32"/>
        <v>0</v>
      </c>
      <c r="Y95" s="99">
        <f t="shared" si="8"/>
        <v>110</v>
      </c>
      <c r="Z95" s="100">
        <f t="shared" si="16"/>
        <v>2932.03553</v>
      </c>
      <c r="AA95" s="113">
        <v>1.46</v>
      </c>
      <c r="AB95" s="114">
        <f t="shared" si="30"/>
        <v>2933.49553</v>
      </c>
    </row>
    <row r="96" spans="1:28" ht="19.5" customHeight="1">
      <c r="A96" s="109" t="s">
        <v>15</v>
      </c>
      <c r="B96" s="110">
        <v>0</v>
      </c>
      <c r="C96" s="110"/>
      <c r="D96" s="102">
        <v>1.32</v>
      </c>
      <c r="E96" s="101">
        <f t="shared" si="20"/>
        <v>1917.96</v>
      </c>
      <c r="F96" s="101">
        <f>LOOKUP(B96,'Tabla ANTIG'!$B$5:$B$29,'Tabla ANTIG'!$C$5:$C$29)*E96</f>
        <v>191.79600000000002</v>
      </c>
      <c r="G96" s="111">
        <f t="shared" si="21"/>
        <v>0</v>
      </c>
      <c r="H96" s="101">
        <f>LOOKUP(B96,'Tabla ANTIG'!$B$5:$B$29,'Tabla ANTIG'!$C$5:$C$29)*G96</f>
        <v>0</v>
      </c>
      <c r="I96" s="101">
        <f t="shared" si="22"/>
        <v>451</v>
      </c>
      <c r="J96" s="101">
        <f t="shared" si="23"/>
        <v>0</v>
      </c>
      <c r="K96" s="101">
        <f>$B$9*$B$15</f>
        <v>363.25</v>
      </c>
      <c r="L96" s="101">
        <v>0</v>
      </c>
      <c r="M96" s="101">
        <v>0</v>
      </c>
      <c r="N96" s="104">
        <f t="shared" si="34"/>
        <v>218</v>
      </c>
      <c r="O96" s="101">
        <f>LOOKUP(B96,'Tabla ANTIG'!$B$5:$B$29,'Tabla ANTIG'!$C$5:$C$29)*N96</f>
        <v>21.8</v>
      </c>
      <c r="P96" s="101">
        <v>0</v>
      </c>
      <c r="Q96" s="104">
        <f t="shared" si="35"/>
        <v>0</v>
      </c>
      <c r="R96" s="112">
        <f t="shared" si="25"/>
        <v>3163.806</v>
      </c>
      <c r="S96" s="98">
        <f t="shared" si="31"/>
        <v>506.20896</v>
      </c>
      <c r="T96" s="98">
        <f t="shared" si="26"/>
        <v>94.91418</v>
      </c>
      <c r="U96" s="98">
        <f t="shared" si="27"/>
        <v>142.37127</v>
      </c>
      <c r="V96" s="98">
        <f t="shared" si="28"/>
        <v>743.49441</v>
      </c>
      <c r="W96" s="143">
        <f t="shared" si="33"/>
        <v>255</v>
      </c>
      <c r="X96" s="143">
        <f t="shared" si="32"/>
        <v>0</v>
      </c>
      <c r="Y96" s="99">
        <f aca="true" t="shared" si="36" ref="Y96:Y101">$B$18</f>
        <v>110</v>
      </c>
      <c r="Z96" s="100">
        <f t="shared" si="16"/>
        <v>2785.3115900000003</v>
      </c>
      <c r="AA96" s="113">
        <v>68.73</v>
      </c>
      <c r="AB96" s="114">
        <f t="shared" si="30"/>
        <v>2854.0415900000003</v>
      </c>
    </row>
    <row r="97" spans="1:28" ht="19.5" customHeight="1">
      <c r="A97" s="109" t="s">
        <v>16</v>
      </c>
      <c r="B97" s="110">
        <v>0</v>
      </c>
      <c r="C97" s="110"/>
      <c r="D97" s="102">
        <v>1.2</v>
      </c>
      <c r="E97" s="101">
        <f t="shared" si="20"/>
        <v>1743.6</v>
      </c>
      <c r="F97" s="101">
        <f>LOOKUP(B97,'Tabla ANTIG'!$B$5:$B$29,'Tabla ANTIG'!$C$5:$C$29)*E97</f>
        <v>174.36</v>
      </c>
      <c r="G97" s="111">
        <f t="shared" si="21"/>
        <v>0</v>
      </c>
      <c r="H97" s="101">
        <f>LOOKUP(B97,'Tabla ANTIG'!$B$5:$B$29,'Tabla ANTIG'!$C$5:$C$29)*G97</f>
        <v>0</v>
      </c>
      <c r="I97" s="101">
        <f t="shared" si="22"/>
        <v>451</v>
      </c>
      <c r="J97" s="101">
        <f t="shared" si="23"/>
        <v>0</v>
      </c>
      <c r="K97" s="101">
        <f>$B$9*$B$15</f>
        <v>363.25</v>
      </c>
      <c r="L97" s="101">
        <v>0</v>
      </c>
      <c r="M97" s="101">
        <v>0</v>
      </c>
      <c r="N97" s="104">
        <f t="shared" si="34"/>
        <v>218</v>
      </c>
      <c r="O97" s="101">
        <f>LOOKUP(B97,'Tabla ANTIG'!$B$5:$B$29,'Tabla ANTIG'!$C$5:$C$29)*N97</f>
        <v>21.8</v>
      </c>
      <c r="P97" s="101">
        <v>0</v>
      </c>
      <c r="Q97" s="104">
        <f t="shared" si="35"/>
        <v>0</v>
      </c>
      <c r="R97" s="112">
        <f t="shared" si="25"/>
        <v>2972.01</v>
      </c>
      <c r="S97" s="98">
        <f t="shared" si="31"/>
        <v>475.52160000000003</v>
      </c>
      <c r="T97" s="98">
        <f t="shared" si="26"/>
        <v>89.1603</v>
      </c>
      <c r="U97" s="98">
        <f t="shared" si="27"/>
        <v>133.74045</v>
      </c>
      <c r="V97" s="98">
        <f t="shared" si="28"/>
        <v>698.42235</v>
      </c>
      <c r="W97" s="143">
        <f t="shared" si="33"/>
        <v>255</v>
      </c>
      <c r="X97" s="143">
        <f t="shared" si="32"/>
        <v>0</v>
      </c>
      <c r="Y97" s="99">
        <f t="shared" si="36"/>
        <v>110</v>
      </c>
      <c r="Z97" s="100">
        <f t="shared" si="16"/>
        <v>2638.5876500000004</v>
      </c>
      <c r="AA97" s="113">
        <v>135.97</v>
      </c>
      <c r="AB97" s="114">
        <f t="shared" si="30"/>
        <v>2774.55765</v>
      </c>
    </row>
    <row r="98" spans="1:30" ht="19.5" customHeight="1">
      <c r="A98" s="109" t="s">
        <v>6</v>
      </c>
      <c r="B98" s="110">
        <v>0</v>
      </c>
      <c r="C98" s="110"/>
      <c r="D98" s="102">
        <v>1</v>
      </c>
      <c r="E98" s="101">
        <f t="shared" si="20"/>
        <v>1453</v>
      </c>
      <c r="F98" s="101">
        <f>LOOKUP(B98,'Tabla ANTIG'!$B$5:$B$29,'Tabla ANTIG'!$C$5:$C$29)*E98</f>
        <v>145.3</v>
      </c>
      <c r="G98" s="111">
        <f t="shared" si="21"/>
        <v>0</v>
      </c>
      <c r="H98" s="101">
        <f>LOOKUP(B98,'Tabla ANTIG'!$B$5:$B$29,'Tabla ANTIG'!$C$5:$C$29)*G98</f>
        <v>0</v>
      </c>
      <c r="I98" s="101">
        <f t="shared" si="22"/>
        <v>451</v>
      </c>
      <c r="J98" s="101">
        <f t="shared" si="23"/>
        <v>0</v>
      </c>
      <c r="K98" s="101">
        <f>$B$9*$B$15</f>
        <v>363.25</v>
      </c>
      <c r="L98" s="101">
        <v>0</v>
      </c>
      <c r="M98" s="101">
        <v>0</v>
      </c>
      <c r="N98" s="104">
        <f t="shared" si="34"/>
        <v>218</v>
      </c>
      <c r="O98" s="101">
        <f>LOOKUP(B98,'Tabla ANTIG'!$B$5:$B$29,'Tabla ANTIG'!$C$5:$C$29)*N98</f>
        <v>21.8</v>
      </c>
      <c r="P98" s="101">
        <v>0</v>
      </c>
      <c r="Q98" s="104">
        <v>59.33</v>
      </c>
      <c r="R98" s="112">
        <f t="shared" si="25"/>
        <v>2711.6800000000003</v>
      </c>
      <c r="S98" s="98">
        <f t="shared" si="31"/>
        <v>433.8688000000001</v>
      </c>
      <c r="T98" s="98">
        <f t="shared" si="26"/>
        <v>81.35040000000001</v>
      </c>
      <c r="U98" s="98">
        <f t="shared" si="27"/>
        <v>122.02560000000001</v>
      </c>
      <c r="V98" s="98">
        <f t="shared" si="28"/>
        <v>637.2448000000002</v>
      </c>
      <c r="W98" s="143">
        <f t="shared" si="33"/>
        <v>255</v>
      </c>
      <c r="X98" s="143">
        <f t="shared" si="32"/>
        <v>0</v>
      </c>
      <c r="Y98" s="99">
        <v>110</v>
      </c>
      <c r="Z98" s="100">
        <f t="shared" si="16"/>
        <v>2439.4352</v>
      </c>
      <c r="AA98" s="113">
        <v>200</v>
      </c>
      <c r="AB98" s="114">
        <f t="shared" si="30"/>
        <v>2639.4352</v>
      </c>
      <c r="AD98" s="137"/>
    </row>
    <row r="99" spans="1:28" ht="19.5" customHeight="1">
      <c r="A99" s="109" t="s">
        <v>13</v>
      </c>
      <c r="B99" s="110">
        <v>0</v>
      </c>
      <c r="C99" s="110"/>
      <c r="D99" s="102">
        <v>1.56</v>
      </c>
      <c r="E99" s="101">
        <f t="shared" si="20"/>
        <v>2266.6800000000003</v>
      </c>
      <c r="F99" s="101">
        <f>LOOKUP(B99,'Tabla ANTIG'!$B$5:$B$29,'Tabla ANTIG'!$C$5:$C$29)*E99</f>
        <v>226.66800000000003</v>
      </c>
      <c r="G99" s="111">
        <f t="shared" si="21"/>
        <v>0</v>
      </c>
      <c r="H99" s="101">
        <f>LOOKUP(B99,'Tabla ANTIG'!$B$5:$B$29,'Tabla ANTIG'!$C$5:$C$29)*G99</f>
        <v>0</v>
      </c>
      <c r="I99" s="101">
        <f t="shared" si="22"/>
        <v>451</v>
      </c>
      <c r="J99" s="101">
        <f t="shared" si="23"/>
        <v>0</v>
      </c>
      <c r="K99" s="101">
        <v>0</v>
      </c>
      <c r="L99" s="101">
        <v>0</v>
      </c>
      <c r="M99" s="101">
        <v>0</v>
      </c>
      <c r="N99" s="104">
        <f t="shared" si="34"/>
        <v>218</v>
      </c>
      <c r="O99" s="101">
        <f>LOOKUP(B99,'Tabla ANTIG'!$B$5:$B$29,'Tabla ANTIG'!$C$5:$C$29)*N99</f>
        <v>21.8</v>
      </c>
      <c r="P99" s="101">
        <v>0</v>
      </c>
      <c r="Q99" s="104">
        <f t="shared" si="35"/>
        <v>0</v>
      </c>
      <c r="R99" s="112">
        <f t="shared" si="25"/>
        <v>3184.1480000000006</v>
      </c>
      <c r="S99" s="98">
        <f>R99*$S$29</f>
        <v>509.4636800000001</v>
      </c>
      <c r="T99" s="98">
        <f t="shared" si="26"/>
        <v>95.52444000000001</v>
      </c>
      <c r="U99" s="98">
        <f t="shared" si="27"/>
        <v>143.28666</v>
      </c>
      <c r="V99" s="98">
        <f t="shared" si="28"/>
        <v>748.2747800000001</v>
      </c>
      <c r="W99" s="143">
        <f t="shared" si="33"/>
        <v>255</v>
      </c>
      <c r="X99" s="143">
        <f t="shared" si="32"/>
        <v>0</v>
      </c>
      <c r="Y99" s="99">
        <f t="shared" si="36"/>
        <v>110</v>
      </c>
      <c r="Z99" s="100">
        <f aca="true" t="shared" si="37" ref="Z99:Z132">R99-V99+W99+Y99+X99</f>
        <v>2800.8732200000004</v>
      </c>
      <c r="AA99" s="113">
        <f>IF(((E99+K99+N99+Q99)-((E99+K99+N99+Q99)*0.19))&gt;930,0,930-((E99+K99+N99+Q99)-((E99+K99+N99+Q99)*0.19)))</f>
        <v>0</v>
      </c>
      <c r="AB99" s="114">
        <f t="shared" si="30"/>
        <v>2800.8732200000004</v>
      </c>
    </row>
    <row r="100" spans="1:30" ht="19.5" customHeight="1">
      <c r="A100" s="109" t="s">
        <v>140</v>
      </c>
      <c r="B100" s="110">
        <v>0</v>
      </c>
      <c r="C100" s="110"/>
      <c r="D100" s="102">
        <v>1.2</v>
      </c>
      <c r="E100" s="101">
        <f t="shared" si="20"/>
        <v>1743.6</v>
      </c>
      <c r="F100" s="101">
        <f>LOOKUP(B100,'Tabla ANTIG'!$B$5:$B$29,'Tabla ANTIG'!$C$5:$C$29)*E100</f>
        <v>174.36</v>
      </c>
      <c r="G100" s="111">
        <f t="shared" si="21"/>
        <v>0</v>
      </c>
      <c r="H100" s="101">
        <f>LOOKUP(B100,'Tabla ANTIG'!$B$5:$B$29,'Tabla ANTIG'!$C$5:$C$29)*G100</f>
        <v>0</v>
      </c>
      <c r="I100" s="101">
        <f t="shared" si="22"/>
        <v>451</v>
      </c>
      <c r="J100" s="101">
        <f t="shared" si="23"/>
        <v>0</v>
      </c>
      <c r="K100" s="101">
        <v>0</v>
      </c>
      <c r="L100" s="101">
        <v>0</v>
      </c>
      <c r="M100" s="101">
        <v>0</v>
      </c>
      <c r="N100" s="104">
        <f t="shared" si="34"/>
        <v>218</v>
      </c>
      <c r="O100" s="101">
        <f>LOOKUP(B100,'Tabla ANTIG'!$B$5:$B$29,'Tabla ANTIG'!$C$5:$C$29)*N100</f>
        <v>21.8</v>
      </c>
      <c r="P100" s="101">
        <v>0</v>
      </c>
      <c r="Q100" s="104">
        <f t="shared" si="35"/>
        <v>0</v>
      </c>
      <c r="R100" s="112">
        <f t="shared" si="25"/>
        <v>2608.76</v>
      </c>
      <c r="S100" s="98">
        <f>R100*$S$29</f>
        <v>417.40160000000003</v>
      </c>
      <c r="T100" s="98">
        <f t="shared" si="26"/>
        <v>78.2628</v>
      </c>
      <c r="U100" s="98">
        <f t="shared" si="27"/>
        <v>117.39420000000001</v>
      </c>
      <c r="V100" s="98">
        <f t="shared" si="28"/>
        <v>613.0586000000001</v>
      </c>
      <c r="W100" s="143">
        <f t="shared" si="33"/>
        <v>255</v>
      </c>
      <c r="X100" s="143">
        <f t="shared" si="32"/>
        <v>0</v>
      </c>
      <c r="Y100" s="99">
        <f t="shared" si="36"/>
        <v>110</v>
      </c>
      <c r="Z100" s="100">
        <f t="shared" si="37"/>
        <v>2360.7014</v>
      </c>
      <c r="AA100" s="113">
        <v>138.86</v>
      </c>
      <c r="AB100" s="114">
        <f t="shared" si="30"/>
        <v>2499.5614</v>
      </c>
      <c r="AD100" s="137"/>
    </row>
    <row r="101" spans="1:28" ht="19.5" customHeight="1">
      <c r="A101" s="109" t="s">
        <v>4</v>
      </c>
      <c r="B101" s="110">
        <v>0</v>
      </c>
      <c r="C101" s="110"/>
      <c r="D101" s="102">
        <v>1.2</v>
      </c>
      <c r="E101" s="101">
        <f t="shared" si="20"/>
        <v>1743.6</v>
      </c>
      <c r="F101" s="101">
        <f>LOOKUP(B101,'Tabla ANTIG'!$B$5:$B$29,'Tabla ANTIG'!$C$5:$C$29)*E101</f>
        <v>174.36</v>
      </c>
      <c r="G101" s="111">
        <f t="shared" si="21"/>
        <v>0</v>
      </c>
      <c r="H101" s="101">
        <f>LOOKUP(B101,'Tabla ANTIG'!$B$5:$B$29,'Tabla ANTIG'!$C$5:$C$29)*G101</f>
        <v>0</v>
      </c>
      <c r="I101" s="101">
        <f t="shared" si="22"/>
        <v>451</v>
      </c>
      <c r="J101" s="101">
        <f t="shared" si="23"/>
        <v>0</v>
      </c>
      <c r="K101" s="101">
        <v>0</v>
      </c>
      <c r="L101" s="101">
        <v>0</v>
      </c>
      <c r="M101" s="101">
        <v>0</v>
      </c>
      <c r="N101" s="104">
        <f t="shared" si="34"/>
        <v>218</v>
      </c>
      <c r="O101" s="101">
        <f>LOOKUP(B101,'Tabla ANTIG'!$B$5:$B$29,'Tabla ANTIG'!$C$5:$C$29)*N101</f>
        <v>21.8</v>
      </c>
      <c r="P101" s="101">
        <v>0</v>
      </c>
      <c r="Q101" s="104">
        <f t="shared" si="35"/>
        <v>0</v>
      </c>
      <c r="R101" s="112">
        <f t="shared" si="25"/>
        <v>2608.76</v>
      </c>
      <c r="S101" s="98">
        <f>R101*$S$29</f>
        <v>417.40160000000003</v>
      </c>
      <c r="T101" s="98">
        <f t="shared" si="26"/>
        <v>78.2628</v>
      </c>
      <c r="U101" s="98">
        <f t="shared" si="27"/>
        <v>117.39420000000001</v>
      </c>
      <c r="V101" s="98">
        <f t="shared" si="28"/>
        <v>613.0586000000001</v>
      </c>
      <c r="W101" s="143">
        <f t="shared" si="33"/>
        <v>255</v>
      </c>
      <c r="X101" s="143">
        <f t="shared" si="32"/>
        <v>0</v>
      </c>
      <c r="Y101" s="99">
        <f t="shared" si="36"/>
        <v>110</v>
      </c>
      <c r="Z101" s="100">
        <f t="shared" si="37"/>
        <v>2360.7014</v>
      </c>
      <c r="AA101" s="113">
        <v>138.86</v>
      </c>
      <c r="AB101" s="114">
        <f t="shared" si="30"/>
        <v>2499.5614</v>
      </c>
    </row>
    <row r="102" spans="1:28" s="3" customFormat="1" ht="19.5" customHeight="1">
      <c r="A102" s="158" t="s">
        <v>54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60"/>
    </row>
    <row r="103" spans="1:28" ht="19.5" customHeight="1">
      <c r="A103" s="131" t="s">
        <v>207</v>
      </c>
      <c r="B103" s="110">
        <v>0</v>
      </c>
      <c r="C103" s="110"/>
      <c r="D103" s="102">
        <v>3</v>
      </c>
      <c r="E103" s="101">
        <f t="shared" si="20"/>
        <v>4359</v>
      </c>
      <c r="F103" s="101">
        <f>LOOKUP(B103,'Tabla ANTIG'!$B$5:$B$29,'Tabla ANTIG'!$C$5:$C$29)*E103</f>
        <v>435.90000000000003</v>
      </c>
      <c r="G103" s="111">
        <f aca="true" t="shared" si="38" ref="G103:G132">$B$11</f>
        <v>0</v>
      </c>
      <c r="H103" s="101">
        <f>LOOKUP(B103,'Tabla ANTIG'!$B$5:$B$29,'Tabla ANTIG'!$C$5:$C$29)*G103</f>
        <v>0</v>
      </c>
      <c r="I103" s="101">
        <f aca="true" t="shared" si="39" ref="I103:I132">$B$12</f>
        <v>451</v>
      </c>
      <c r="J103" s="101">
        <f aca="true" t="shared" si="40" ref="J103:J132">$B$13</f>
        <v>0</v>
      </c>
      <c r="K103" s="101">
        <v>0</v>
      </c>
      <c r="L103" s="101">
        <v>0</v>
      </c>
      <c r="M103" s="101">
        <v>0</v>
      </c>
      <c r="N103" s="104">
        <f t="shared" si="34"/>
        <v>218</v>
      </c>
      <c r="O103" s="101">
        <f>LOOKUP(B103,'Tabla ANTIG'!$B$5:$B$29,'Tabla ANTIG'!$C$5:$C$29)*N103</f>
        <v>21.8</v>
      </c>
      <c r="P103" s="101">
        <v>0</v>
      </c>
      <c r="Q103" s="104">
        <f aca="true" t="shared" si="41" ref="Q103:Q113">+IF(((E103+K103+N103)-((E103+K103+N103)*0.19))&gt;730,0,730-((E103+K103+N103)-((E103+K103+N103)*0.19)))/0.81</f>
        <v>0</v>
      </c>
      <c r="R103" s="112">
        <f aca="true" t="shared" si="42" ref="R103:R132">SUM(E103:Q103)</f>
        <v>5485.7</v>
      </c>
      <c r="S103" s="98">
        <f>R103*$S$29</f>
        <v>877.712</v>
      </c>
      <c r="T103" s="98">
        <f>R103*$T$29</f>
        <v>164.571</v>
      </c>
      <c r="U103" s="98">
        <f>R103*$U$29</f>
        <v>246.85649999999998</v>
      </c>
      <c r="V103" s="98">
        <f>SUM(S103:U103)</f>
        <v>1289.1394999999998</v>
      </c>
      <c r="W103" s="143">
        <f t="shared" si="33"/>
        <v>255</v>
      </c>
      <c r="X103" s="143">
        <f>$B$20</f>
        <v>0</v>
      </c>
      <c r="Y103" s="99">
        <f aca="true" t="shared" si="43" ref="Y103:Y122">$B$18</f>
        <v>110</v>
      </c>
      <c r="Z103" s="100">
        <f t="shared" si="37"/>
        <v>4561.5605</v>
      </c>
      <c r="AA103" s="113">
        <f aca="true" t="shared" si="44" ref="AA103:AA118">IF(((E103+K103+N103+Q103)-((E103+K103+N103+Q103)*0.19))&gt;930,0,930-((E103+K103+N103+Q103)-((E103+K103+N103+Q103)*0.19)))</f>
        <v>0</v>
      </c>
      <c r="AB103" s="114">
        <f aca="true" t="shared" si="45" ref="AB103:AB132">SUM(Z103:AA103)</f>
        <v>4561.5605</v>
      </c>
    </row>
    <row r="104" spans="1:28" ht="19.5" customHeight="1">
      <c r="A104" s="109" t="s">
        <v>8</v>
      </c>
      <c r="B104" s="110">
        <v>0</v>
      </c>
      <c r="C104" s="110"/>
      <c r="D104" s="102">
        <v>2.7</v>
      </c>
      <c r="E104" s="101">
        <f t="shared" si="20"/>
        <v>3923.1000000000004</v>
      </c>
      <c r="F104" s="101">
        <f>LOOKUP(B104,'Tabla ANTIG'!$B$5:$B$29,'Tabla ANTIG'!$C$5:$C$29)*E104</f>
        <v>392.31000000000006</v>
      </c>
      <c r="G104" s="111">
        <f t="shared" si="38"/>
        <v>0</v>
      </c>
      <c r="H104" s="101">
        <f>LOOKUP(B104,'Tabla ANTIG'!$B$5:$B$29,'Tabla ANTIG'!$C$5:$C$29)*G104</f>
        <v>0</v>
      </c>
      <c r="I104" s="101">
        <f t="shared" si="39"/>
        <v>451</v>
      </c>
      <c r="J104" s="101">
        <f t="shared" si="40"/>
        <v>0</v>
      </c>
      <c r="K104" s="101">
        <v>0</v>
      </c>
      <c r="L104" s="101">
        <v>0</v>
      </c>
      <c r="M104" s="101">
        <v>0</v>
      </c>
      <c r="N104" s="104">
        <f t="shared" si="34"/>
        <v>218</v>
      </c>
      <c r="O104" s="101">
        <f>LOOKUP(B104,'Tabla ANTIG'!$B$5:$B$29,'Tabla ANTIG'!$C$5:$C$29)*N104</f>
        <v>21.8</v>
      </c>
      <c r="P104" s="101">
        <v>0</v>
      </c>
      <c r="Q104" s="104">
        <f t="shared" si="41"/>
        <v>0</v>
      </c>
      <c r="R104" s="112">
        <f t="shared" si="42"/>
        <v>5006.210000000001</v>
      </c>
      <c r="S104" s="98">
        <f aca="true" t="shared" si="46" ref="S104:S132">R104*$S$29</f>
        <v>800.9936000000001</v>
      </c>
      <c r="T104" s="98">
        <f aca="true" t="shared" si="47" ref="T104:T132">R104*$T$29</f>
        <v>150.18630000000002</v>
      </c>
      <c r="U104" s="98">
        <f aca="true" t="shared" si="48" ref="U104:U132">R104*$U$29</f>
        <v>225.27945000000003</v>
      </c>
      <c r="V104" s="98">
        <f aca="true" t="shared" si="49" ref="V104:V132">SUM(S104:U104)</f>
        <v>1176.45935</v>
      </c>
      <c r="W104" s="143">
        <f t="shared" si="33"/>
        <v>255</v>
      </c>
      <c r="X104" s="143">
        <f aca="true" t="shared" si="50" ref="X104:X132">$B$20</f>
        <v>0</v>
      </c>
      <c r="Y104" s="99">
        <f t="shared" si="43"/>
        <v>110</v>
      </c>
      <c r="Z104" s="100">
        <f t="shared" si="37"/>
        <v>4194.750650000001</v>
      </c>
      <c r="AA104" s="113">
        <f t="shared" si="44"/>
        <v>0</v>
      </c>
      <c r="AB104" s="114">
        <f t="shared" si="45"/>
        <v>4194.750650000001</v>
      </c>
    </row>
    <row r="105" spans="1:28" ht="19.5" customHeight="1">
      <c r="A105" s="109" t="s">
        <v>7</v>
      </c>
      <c r="B105" s="110">
        <v>0</v>
      </c>
      <c r="C105" s="110"/>
      <c r="D105" s="102">
        <v>3</v>
      </c>
      <c r="E105" s="101">
        <f t="shared" si="20"/>
        <v>4359</v>
      </c>
      <c r="F105" s="101">
        <f>LOOKUP(B105,'Tabla ANTIG'!$B$5:$B$29,'Tabla ANTIG'!$C$5:$C$29)*E105</f>
        <v>435.90000000000003</v>
      </c>
      <c r="G105" s="111">
        <f t="shared" si="38"/>
        <v>0</v>
      </c>
      <c r="H105" s="101">
        <f>LOOKUP(B105,'Tabla ANTIG'!$B$5:$B$29,'Tabla ANTIG'!$C$5:$C$29)*G105</f>
        <v>0</v>
      </c>
      <c r="I105" s="101">
        <f t="shared" si="39"/>
        <v>451</v>
      </c>
      <c r="J105" s="101">
        <f t="shared" si="40"/>
        <v>0</v>
      </c>
      <c r="K105" s="101">
        <v>0</v>
      </c>
      <c r="L105" s="101">
        <v>0</v>
      </c>
      <c r="M105" s="101">
        <v>0</v>
      </c>
      <c r="N105" s="104">
        <f t="shared" si="34"/>
        <v>218</v>
      </c>
      <c r="O105" s="101">
        <f>LOOKUP(B105,'Tabla ANTIG'!$B$5:$B$29,'Tabla ANTIG'!$C$5:$C$29)*N105</f>
        <v>21.8</v>
      </c>
      <c r="P105" s="101">
        <v>0</v>
      </c>
      <c r="Q105" s="104">
        <f t="shared" si="41"/>
        <v>0</v>
      </c>
      <c r="R105" s="112">
        <f t="shared" si="42"/>
        <v>5485.7</v>
      </c>
      <c r="S105" s="98">
        <f t="shared" si="46"/>
        <v>877.712</v>
      </c>
      <c r="T105" s="98">
        <f t="shared" si="47"/>
        <v>164.571</v>
      </c>
      <c r="U105" s="98">
        <f t="shared" si="48"/>
        <v>246.85649999999998</v>
      </c>
      <c r="V105" s="98">
        <f t="shared" si="49"/>
        <v>1289.1394999999998</v>
      </c>
      <c r="W105" s="143">
        <f t="shared" si="33"/>
        <v>255</v>
      </c>
      <c r="X105" s="143">
        <f t="shared" si="50"/>
        <v>0</v>
      </c>
      <c r="Y105" s="99">
        <f t="shared" si="43"/>
        <v>110</v>
      </c>
      <c r="Z105" s="100">
        <f t="shared" si="37"/>
        <v>4561.5605</v>
      </c>
      <c r="AA105" s="113">
        <f t="shared" si="44"/>
        <v>0</v>
      </c>
      <c r="AB105" s="114">
        <f t="shared" si="45"/>
        <v>4561.5605</v>
      </c>
    </row>
    <row r="106" spans="1:28" ht="19.5" customHeight="1">
      <c r="A106" s="109" t="s">
        <v>114</v>
      </c>
      <c r="B106" s="110">
        <v>0</v>
      </c>
      <c r="C106" s="110"/>
      <c r="D106" s="102">
        <v>2.7</v>
      </c>
      <c r="E106" s="101">
        <f t="shared" si="20"/>
        <v>3923.1000000000004</v>
      </c>
      <c r="F106" s="101">
        <f>LOOKUP(B106,'Tabla ANTIG'!$B$5:$B$29,'Tabla ANTIG'!$C$5:$C$29)*E106</f>
        <v>392.31000000000006</v>
      </c>
      <c r="G106" s="111">
        <f t="shared" si="38"/>
        <v>0</v>
      </c>
      <c r="H106" s="101">
        <f>LOOKUP(B106,'Tabla ANTIG'!$B$5:$B$29,'Tabla ANTIG'!$C$5:$C$29)*G106</f>
        <v>0</v>
      </c>
      <c r="I106" s="101">
        <f t="shared" si="39"/>
        <v>451</v>
      </c>
      <c r="J106" s="101">
        <f t="shared" si="40"/>
        <v>0</v>
      </c>
      <c r="K106" s="101">
        <v>0</v>
      </c>
      <c r="L106" s="101">
        <v>0</v>
      </c>
      <c r="M106" s="101">
        <v>0</v>
      </c>
      <c r="N106" s="104">
        <f t="shared" si="34"/>
        <v>218</v>
      </c>
      <c r="O106" s="101">
        <f>LOOKUP(B106,'Tabla ANTIG'!$B$5:$B$29,'Tabla ANTIG'!$C$5:$C$29)*N106</f>
        <v>21.8</v>
      </c>
      <c r="P106" s="101">
        <v>0</v>
      </c>
      <c r="Q106" s="104">
        <f t="shared" si="41"/>
        <v>0</v>
      </c>
      <c r="R106" s="112">
        <f t="shared" si="42"/>
        <v>5006.210000000001</v>
      </c>
      <c r="S106" s="98">
        <f t="shared" si="46"/>
        <v>800.9936000000001</v>
      </c>
      <c r="T106" s="98">
        <f t="shared" si="47"/>
        <v>150.18630000000002</v>
      </c>
      <c r="U106" s="98">
        <f t="shared" si="48"/>
        <v>225.27945000000003</v>
      </c>
      <c r="V106" s="98">
        <f t="shared" si="49"/>
        <v>1176.45935</v>
      </c>
      <c r="W106" s="143">
        <f t="shared" si="33"/>
        <v>255</v>
      </c>
      <c r="X106" s="143">
        <f t="shared" si="50"/>
        <v>0</v>
      </c>
      <c r="Y106" s="99">
        <f t="shared" si="43"/>
        <v>110</v>
      </c>
      <c r="Z106" s="100">
        <f t="shared" si="37"/>
        <v>4194.750650000001</v>
      </c>
      <c r="AA106" s="113">
        <f t="shared" si="44"/>
        <v>0</v>
      </c>
      <c r="AB106" s="114">
        <f t="shared" si="45"/>
        <v>4194.750650000001</v>
      </c>
    </row>
    <row r="107" spans="1:28" ht="19.5" customHeight="1">
      <c r="A107" s="109" t="s">
        <v>115</v>
      </c>
      <c r="B107" s="110">
        <v>0</v>
      </c>
      <c r="C107" s="110"/>
      <c r="D107" s="102">
        <v>3</v>
      </c>
      <c r="E107" s="101">
        <f t="shared" si="20"/>
        <v>4359</v>
      </c>
      <c r="F107" s="101">
        <f>LOOKUP(B107,'Tabla ANTIG'!$B$5:$B$29,'Tabla ANTIG'!$C$5:$C$29)*E107</f>
        <v>435.90000000000003</v>
      </c>
      <c r="G107" s="111">
        <f t="shared" si="38"/>
        <v>0</v>
      </c>
      <c r="H107" s="101">
        <f>LOOKUP(B107,'Tabla ANTIG'!$B$5:$B$29,'Tabla ANTIG'!$C$5:$C$29)*G107</f>
        <v>0</v>
      </c>
      <c r="I107" s="101">
        <f t="shared" si="39"/>
        <v>451</v>
      </c>
      <c r="J107" s="101">
        <f t="shared" si="40"/>
        <v>0</v>
      </c>
      <c r="K107" s="101">
        <v>0</v>
      </c>
      <c r="L107" s="101">
        <v>0</v>
      </c>
      <c r="M107" s="101">
        <v>0</v>
      </c>
      <c r="N107" s="104">
        <f t="shared" si="34"/>
        <v>218</v>
      </c>
      <c r="O107" s="101">
        <f>LOOKUP(B107,'Tabla ANTIG'!$B$5:$B$29,'Tabla ANTIG'!$C$5:$C$29)*N107</f>
        <v>21.8</v>
      </c>
      <c r="P107" s="101">
        <v>0</v>
      </c>
      <c r="Q107" s="104">
        <f t="shared" si="41"/>
        <v>0</v>
      </c>
      <c r="R107" s="112">
        <f t="shared" si="42"/>
        <v>5485.7</v>
      </c>
      <c r="S107" s="98">
        <f t="shared" si="46"/>
        <v>877.712</v>
      </c>
      <c r="T107" s="98">
        <f t="shared" si="47"/>
        <v>164.571</v>
      </c>
      <c r="U107" s="98">
        <f t="shared" si="48"/>
        <v>246.85649999999998</v>
      </c>
      <c r="V107" s="98">
        <f t="shared" si="49"/>
        <v>1289.1394999999998</v>
      </c>
      <c r="W107" s="143">
        <f t="shared" si="33"/>
        <v>255</v>
      </c>
      <c r="X107" s="143">
        <f t="shared" si="50"/>
        <v>0</v>
      </c>
      <c r="Y107" s="99">
        <f t="shared" si="43"/>
        <v>110</v>
      </c>
      <c r="Z107" s="100">
        <f t="shared" si="37"/>
        <v>4561.5605</v>
      </c>
      <c r="AA107" s="113">
        <f t="shared" si="44"/>
        <v>0</v>
      </c>
      <c r="AB107" s="114">
        <f t="shared" si="45"/>
        <v>4561.5605</v>
      </c>
    </row>
    <row r="108" spans="1:28" ht="19.5" customHeight="1">
      <c r="A108" s="109" t="s">
        <v>10</v>
      </c>
      <c r="B108" s="110">
        <v>0</v>
      </c>
      <c r="C108" s="110"/>
      <c r="D108" s="102">
        <v>2.58</v>
      </c>
      <c r="E108" s="101">
        <f t="shared" si="20"/>
        <v>3748.7400000000002</v>
      </c>
      <c r="F108" s="101">
        <f>LOOKUP(B108,'Tabla ANTIG'!$B$5:$B$29,'Tabla ANTIG'!$C$5:$C$29)*E108</f>
        <v>374.874</v>
      </c>
      <c r="G108" s="111">
        <f t="shared" si="38"/>
        <v>0</v>
      </c>
      <c r="H108" s="101">
        <f>LOOKUP(B108,'Tabla ANTIG'!$B$5:$B$29,'Tabla ANTIG'!$C$5:$C$29)*G108</f>
        <v>0</v>
      </c>
      <c r="I108" s="101">
        <f t="shared" si="39"/>
        <v>451</v>
      </c>
      <c r="J108" s="101">
        <f t="shared" si="40"/>
        <v>0</v>
      </c>
      <c r="K108" s="101">
        <v>0</v>
      </c>
      <c r="L108" s="101">
        <v>0</v>
      </c>
      <c r="M108" s="101">
        <v>0</v>
      </c>
      <c r="N108" s="104">
        <f t="shared" si="34"/>
        <v>218</v>
      </c>
      <c r="O108" s="101">
        <f>LOOKUP(B108,'Tabla ANTIG'!$B$5:$B$29,'Tabla ANTIG'!$C$5:$C$29)*N108</f>
        <v>21.8</v>
      </c>
      <c r="P108" s="101">
        <v>0</v>
      </c>
      <c r="Q108" s="104">
        <f t="shared" si="41"/>
        <v>0</v>
      </c>
      <c r="R108" s="112">
        <f t="shared" si="42"/>
        <v>4814.414000000001</v>
      </c>
      <c r="S108" s="98">
        <f t="shared" si="46"/>
        <v>770.3062400000001</v>
      </c>
      <c r="T108" s="98">
        <f t="shared" si="47"/>
        <v>144.43242</v>
      </c>
      <c r="U108" s="98">
        <f t="shared" si="48"/>
        <v>216.64863000000003</v>
      </c>
      <c r="V108" s="98">
        <f t="shared" si="49"/>
        <v>1131.3872900000001</v>
      </c>
      <c r="W108" s="143">
        <f t="shared" si="33"/>
        <v>255</v>
      </c>
      <c r="X108" s="143">
        <f t="shared" si="50"/>
        <v>0</v>
      </c>
      <c r="Y108" s="99">
        <f t="shared" si="43"/>
        <v>110</v>
      </c>
      <c r="Z108" s="100">
        <f t="shared" si="37"/>
        <v>4048.0267100000005</v>
      </c>
      <c r="AA108" s="113">
        <f t="shared" si="44"/>
        <v>0</v>
      </c>
      <c r="AB108" s="114">
        <f t="shared" si="45"/>
        <v>4048.0267100000005</v>
      </c>
    </row>
    <row r="109" spans="1:28" ht="19.5" customHeight="1">
      <c r="A109" s="109" t="s">
        <v>9</v>
      </c>
      <c r="B109" s="110">
        <v>0</v>
      </c>
      <c r="C109" s="110"/>
      <c r="D109" s="102">
        <v>2.7</v>
      </c>
      <c r="E109" s="101">
        <f t="shared" si="20"/>
        <v>3923.1000000000004</v>
      </c>
      <c r="F109" s="101">
        <f>LOOKUP(B109,'Tabla ANTIG'!$B$5:$B$29,'Tabla ANTIG'!$C$5:$C$29)*E109</f>
        <v>392.31000000000006</v>
      </c>
      <c r="G109" s="111">
        <f t="shared" si="38"/>
        <v>0</v>
      </c>
      <c r="H109" s="101">
        <f>LOOKUP(B109,'Tabla ANTIG'!$B$5:$B$29,'Tabla ANTIG'!$C$5:$C$29)*G109</f>
        <v>0</v>
      </c>
      <c r="I109" s="101">
        <f t="shared" si="39"/>
        <v>451</v>
      </c>
      <c r="J109" s="101">
        <f t="shared" si="40"/>
        <v>0</v>
      </c>
      <c r="K109" s="101">
        <v>0</v>
      </c>
      <c r="L109" s="101">
        <v>0</v>
      </c>
      <c r="M109" s="101">
        <v>0</v>
      </c>
      <c r="N109" s="104">
        <f t="shared" si="34"/>
        <v>218</v>
      </c>
      <c r="O109" s="101">
        <f>LOOKUP(B109,'Tabla ANTIG'!$B$5:$B$29,'Tabla ANTIG'!$C$5:$C$29)*N109</f>
        <v>21.8</v>
      </c>
      <c r="P109" s="101">
        <v>0</v>
      </c>
      <c r="Q109" s="104">
        <f t="shared" si="41"/>
        <v>0</v>
      </c>
      <c r="R109" s="112">
        <f t="shared" si="42"/>
        <v>5006.210000000001</v>
      </c>
      <c r="S109" s="98">
        <f t="shared" si="46"/>
        <v>800.9936000000001</v>
      </c>
      <c r="T109" s="98">
        <f t="shared" si="47"/>
        <v>150.18630000000002</v>
      </c>
      <c r="U109" s="98">
        <f t="shared" si="48"/>
        <v>225.27945000000003</v>
      </c>
      <c r="V109" s="98">
        <f t="shared" si="49"/>
        <v>1176.45935</v>
      </c>
      <c r="W109" s="143">
        <f t="shared" si="33"/>
        <v>255</v>
      </c>
      <c r="X109" s="143">
        <f t="shared" si="50"/>
        <v>0</v>
      </c>
      <c r="Y109" s="99">
        <f t="shared" si="43"/>
        <v>110</v>
      </c>
      <c r="Z109" s="100">
        <f t="shared" si="37"/>
        <v>4194.750650000001</v>
      </c>
      <c r="AA109" s="113">
        <f t="shared" si="44"/>
        <v>0</v>
      </c>
      <c r="AB109" s="114">
        <f t="shared" si="45"/>
        <v>4194.750650000001</v>
      </c>
    </row>
    <row r="110" spans="1:28" ht="19.5" customHeight="1">
      <c r="A110" s="109" t="s">
        <v>12</v>
      </c>
      <c r="B110" s="110">
        <v>0</v>
      </c>
      <c r="C110" s="110"/>
      <c r="D110" s="102">
        <v>2.58</v>
      </c>
      <c r="E110" s="101">
        <f t="shared" si="20"/>
        <v>3748.7400000000002</v>
      </c>
      <c r="F110" s="101">
        <f>LOOKUP(B110,'Tabla ANTIG'!$B$5:$B$29,'Tabla ANTIG'!$C$5:$C$29)*E110</f>
        <v>374.874</v>
      </c>
      <c r="G110" s="111">
        <f t="shared" si="38"/>
        <v>0</v>
      </c>
      <c r="H110" s="101">
        <f>LOOKUP(B110,'Tabla ANTIG'!$B$5:$B$29,'Tabla ANTIG'!$C$5:$C$29)*G110</f>
        <v>0</v>
      </c>
      <c r="I110" s="101">
        <f t="shared" si="39"/>
        <v>451</v>
      </c>
      <c r="J110" s="101">
        <f t="shared" si="40"/>
        <v>0</v>
      </c>
      <c r="K110" s="101">
        <v>0</v>
      </c>
      <c r="L110" s="101">
        <v>0</v>
      </c>
      <c r="M110" s="101">
        <v>0</v>
      </c>
      <c r="N110" s="104">
        <f t="shared" si="34"/>
        <v>218</v>
      </c>
      <c r="O110" s="101">
        <f>LOOKUP(B110,'Tabla ANTIG'!$B$5:$B$29,'Tabla ANTIG'!$C$5:$C$29)*N110</f>
        <v>21.8</v>
      </c>
      <c r="P110" s="101">
        <v>0</v>
      </c>
      <c r="Q110" s="104">
        <f t="shared" si="41"/>
        <v>0</v>
      </c>
      <c r="R110" s="112">
        <f t="shared" si="42"/>
        <v>4814.414000000001</v>
      </c>
      <c r="S110" s="98">
        <f>R110*$S$29</f>
        <v>770.3062400000001</v>
      </c>
      <c r="T110" s="98">
        <f>R110*$T$29</f>
        <v>144.43242</v>
      </c>
      <c r="U110" s="98">
        <f>R110*$U$29</f>
        <v>216.64863000000003</v>
      </c>
      <c r="V110" s="98">
        <f>SUM(S110:U110)</f>
        <v>1131.3872900000001</v>
      </c>
      <c r="W110" s="143">
        <f t="shared" si="33"/>
        <v>255</v>
      </c>
      <c r="X110" s="143">
        <f t="shared" si="50"/>
        <v>0</v>
      </c>
      <c r="Y110" s="99">
        <f t="shared" si="43"/>
        <v>110</v>
      </c>
      <c r="Z110" s="100">
        <f t="shared" si="37"/>
        <v>4048.0267100000005</v>
      </c>
      <c r="AA110" s="113">
        <f t="shared" si="44"/>
        <v>0</v>
      </c>
      <c r="AB110" s="114">
        <f t="shared" si="45"/>
        <v>4048.0267100000005</v>
      </c>
    </row>
    <row r="111" spans="1:28" ht="19.5" customHeight="1">
      <c r="A111" s="109" t="s">
        <v>17</v>
      </c>
      <c r="B111" s="110">
        <v>0</v>
      </c>
      <c r="C111" s="110"/>
      <c r="D111" s="102">
        <v>2.7</v>
      </c>
      <c r="E111" s="101">
        <f t="shared" si="20"/>
        <v>3923.1000000000004</v>
      </c>
      <c r="F111" s="101">
        <f>LOOKUP(B111,'Tabla ANTIG'!$B$5:$B$29,'Tabla ANTIG'!$C$5:$C$29)*E111</f>
        <v>392.31000000000006</v>
      </c>
      <c r="G111" s="111">
        <f t="shared" si="38"/>
        <v>0</v>
      </c>
      <c r="H111" s="101">
        <f>LOOKUP(B111,'Tabla ANTIG'!$B$5:$B$29,'Tabla ANTIG'!$C$5:$C$29)*G111</f>
        <v>0</v>
      </c>
      <c r="I111" s="101">
        <f t="shared" si="39"/>
        <v>451</v>
      </c>
      <c r="J111" s="101">
        <f t="shared" si="40"/>
        <v>0</v>
      </c>
      <c r="K111" s="101">
        <v>0</v>
      </c>
      <c r="L111" s="101">
        <v>0</v>
      </c>
      <c r="M111" s="101">
        <v>0</v>
      </c>
      <c r="N111" s="104">
        <f t="shared" si="34"/>
        <v>218</v>
      </c>
      <c r="O111" s="101">
        <f>LOOKUP(B111,'Tabla ANTIG'!$B$5:$B$29,'Tabla ANTIG'!$C$5:$C$29)*N111</f>
        <v>21.8</v>
      </c>
      <c r="P111" s="101">
        <v>0</v>
      </c>
      <c r="Q111" s="104">
        <f t="shared" si="41"/>
        <v>0</v>
      </c>
      <c r="R111" s="112">
        <f t="shared" si="42"/>
        <v>5006.210000000001</v>
      </c>
      <c r="S111" s="98">
        <f>R111*$S$29</f>
        <v>800.9936000000001</v>
      </c>
      <c r="T111" s="98">
        <f>R111*$T$29</f>
        <v>150.18630000000002</v>
      </c>
      <c r="U111" s="98">
        <f>R111*$U$29</f>
        <v>225.27945000000003</v>
      </c>
      <c r="V111" s="98">
        <f>SUM(S111:U111)</f>
        <v>1176.45935</v>
      </c>
      <c r="W111" s="143">
        <f t="shared" si="33"/>
        <v>255</v>
      </c>
      <c r="X111" s="143">
        <f t="shared" si="50"/>
        <v>0</v>
      </c>
      <c r="Y111" s="99">
        <f t="shared" si="43"/>
        <v>110</v>
      </c>
      <c r="Z111" s="100">
        <f t="shared" si="37"/>
        <v>4194.750650000001</v>
      </c>
      <c r="AA111" s="113">
        <f t="shared" si="44"/>
        <v>0</v>
      </c>
      <c r="AB111" s="114">
        <f t="shared" si="45"/>
        <v>4194.750650000001</v>
      </c>
    </row>
    <row r="112" spans="1:28" ht="19.5" customHeight="1">
      <c r="A112" s="109" t="s">
        <v>11</v>
      </c>
      <c r="B112" s="110">
        <v>0</v>
      </c>
      <c r="C112" s="110"/>
      <c r="D112" s="102">
        <v>2.16</v>
      </c>
      <c r="E112" s="101">
        <f t="shared" si="20"/>
        <v>3138.48</v>
      </c>
      <c r="F112" s="101">
        <f>LOOKUP(B112,'Tabla ANTIG'!$B$5:$B$29,'Tabla ANTIG'!$C$5:$C$29)*E112</f>
        <v>313.848</v>
      </c>
      <c r="G112" s="111">
        <f t="shared" si="38"/>
        <v>0</v>
      </c>
      <c r="H112" s="101">
        <f>LOOKUP(B112,'Tabla ANTIG'!$B$5:$B$29,'Tabla ANTIG'!$C$5:$C$29)*G112</f>
        <v>0</v>
      </c>
      <c r="I112" s="101">
        <f t="shared" si="39"/>
        <v>451</v>
      </c>
      <c r="J112" s="101">
        <f t="shared" si="40"/>
        <v>0</v>
      </c>
      <c r="K112" s="101">
        <v>0</v>
      </c>
      <c r="L112" s="101">
        <v>0</v>
      </c>
      <c r="M112" s="101">
        <v>0</v>
      </c>
      <c r="N112" s="104">
        <f t="shared" si="34"/>
        <v>218</v>
      </c>
      <c r="O112" s="101">
        <f>LOOKUP(B112,'Tabla ANTIG'!$B$5:$B$29,'Tabla ANTIG'!$C$5:$C$29)*N112</f>
        <v>21.8</v>
      </c>
      <c r="P112" s="101">
        <v>0</v>
      </c>
      <c r="Q112" s="104">
        <f t="shared" si="41"/>
        <v>0</v>
      </c>
      <c r="R112" s="112">
        <f t="shared" si="42"/>
        <v>4143.128</v>
      </c>
      <c r="S112" s="98">
        <f t="shared" si="46"/>
        <v>662.90048</v>
      </c>
      <c r="T112" s="98">
        <f t="shared" si="47"/>
        <v>124.29383999999999</v>
      </c>
      <c r="U112" s="98">
        <f t="shared" si="48"/>
        <v>186.44075999999998</v>
      </c>
      <c r="V112" s="98">
        <f t="shared" si="49"/>
        <v>973.63508</v>
      </c>
      <c r="W112" s="143">
        <f t="shared" si="33"/>
        <v>255</v>
      </c>
      <c r="X112" s="143">
        <f t="shared" si="50"/>
        <v>0</v>
      </c>
      <c r="Y112" s="99">
        <f t="shared" si="43"/>
        <v>110</v>
      </c>
      <c r="Z112" s="100">
        <f t="shared" si="37"/>
        <v>3534.4929199999997</v>
      </c>
      <c r="AA112" s="113">
        <f t="shared" si="44"/>
        <v>0</v>
      </c>
      <c r="AB112" s="114">
        <f t="shared" si="45"/>
        <v>3534.4929199999997</v>
      </c>
    </row>
    <row r="113" spans="1:28" ht="19.5" customHeight="1">
      <c r="A113" s="109" t="s">
        <v>150</v>
      </c>
      <c r="B113" s="110">
        <v>0</v>
      </c>
      <c r="C113" s="110"/>
      <c r="D113" s="102">
        <v>2.16</v>
      </c>
      <c r="E113" s="101">
        <f t="shared" si="20"/>
        <v>3138.48</v>
      </c>
      <c r="F113" s="101">
        <f>LOOKUP(B113,'Tabla ANTIG'!$B$5:$B$29,'Tabla ANTIG'!$C$5:$C$29)*E113</f>
        <v>313.848</v>
      </c>
      <c r="G113" s="111">
        <f t="shared" si="38"/>
        <v>0</v>
      </c>
      <c r="H113" s="101">
        <f>LOOKUP(B113,'Tabla ANTIG'!$B$5:$B$29,'Tabla ANTIG'!$C$5:$C$29)*G113</f>
        <v>0</v>
      </c>
      <c r="I113" s="101">
        <f t="shared" si="39"/>
        <v>451</v>
      </c>
      <c r="J113" s="101">
        <f t="shared" si="40"/>
        <v>0</v>
      </c>
      <c r="K113" s="101">
        <v>0</v>
      </c>
      <c r="L113" s="101">
        <v>0</v>
      </c>
      <c r="M113" s="101">
        <v>0</v>
      </c>
      <c r="N113" s="104">
        <f t="shared" si="34"/>
        <v>218</v>
      </c>
      <c r="O113" s="101">
        <f>LOOKUP(B113,'Tabla ANTIG'!$B$5:$B$29,'Tabla ANTIG'!$C$5:$C$29)*N113</f>
        <v>21.8</v>
      </c>
      <c r="P113" s="101">
        <v>0</v>
      </c>
      <c r="Q113" s="104">
        <f t="shared" si="41"/>
        <v>0</v>
      </c>
      <c r="R113" s="112">
        <f t="shared" si="42"/>
        <v>4143.128</v>
      </c>
      <c r="S113" s="98">
        <f>R113*$S$29</f>
        <v>662.90048</v>
      </c>
      <c r="T113" s="98">
        <f>R113*$T$29</f>
        <v>124.29383999999999</v>
      </c>
      <c r="U113" s="98">
        <f t="shared" si="48"/>
        <v>186.44075999999998</v>
      </c>
      <c r="V113" s="98">
        <f>SUM(S113:U113)</f>
        <v>973.63508</v>
      </c>
      <c r="W113" s="143">
        <f t="shared" si="33"/>
        <v>255</v>
      </c>
      <c r="X113" s="143">
        <f t="shared" si="50"/>
        <v>0</v>
      </c>
      <c r="Y113" s="99">
        <f t="shared" si="43"/>
        <v>110</v>
      </c>
      <c r="Z113" s="100">
        <f t="shared" si="37"/>
        <v>3534.4929199999997</v>
      </c>
      <c r="AA113" s="113">
        <f t="shared" si="44"/>
        <v>0</v>
      </c>
      <c r="AB113" s="114">
        <f t="shared" si="45"/>
        <v>3534.4929199999997</v>
      </c>
    </row>
    <row r="114" spans="1:28" ht="19.5" customHeight="1">
      <c r="A114" s="109" t="s">
        <v>18</v>
      </c>
      <c r="B114" s="110">
        <v>0</v>
      </c>
      <c r="C114" s="110"/>
      <c r="D114" s="102">
        <v>2.4</v>
      </c>
      <c r="E114" s="101">
        <f t="shared" si="20"/>
        <v>3487.2</v>
      </c>
      <c r="F114" s="101">
        <f>LOOKUP(B114,'Tabla ANTIG'!$B$5:$B$29,'Tabla ANTIG'!$C$5:$C$29)*E114</f>
        <v>348.72</v>
      </c>
      <c r="G114" s="111">
        <f t="shared" si="38"/>
        <v>0</v>
      </c>
      <c r="H114" s="101">
        <f>LOOKUP(B114,'Tabla ANTIG'!$B$5:$B$29,'Tabla ANTIG'!$C$5:$C$29)*G114</f>
        <v>0</v>
      </c>
      <c r="I114" s="101">
        <f t="shared" si="39"/>
        <v>451</v>
      </c>
      <c r="J114" s="101">
        <f t="shared" si="40"/>
        <v>0</v>
      </c>
      <c r="K114" s="101"/>
      <c r="L114" s="101">
        <v>0</v>
      </c>
      <c r="M114" s="101">
        <v>0</v>
      </c>
      <c r="N114" s="104">
        <f t="shared" si="34"/>
        <v>218</v>
      </c>
      <c r="O114" s="101">
        <f>LOOKUP(B114,'Tabla ANTIG'!$B$5:$B$29,'Tabla ANTIG'!$C$5:$C$29)*N114</f>
        <v>21.8</v>
      </c>
      <c r="P114" s="101">
        <v>0</v>
      </c>
      <c r="Q114" s="104">
        <f>+IF(((E114+F114+K114+N114)-((E114+F114+K114+N114)*0.19))&gt;730,0,730-((E114+F114+K114+N114)-((E114+F114+K114+N114)*0.19)))/0.81</f>
        <v>0</v>
      </c>
      <c r="R114" s="112">
        <f t="shared" si="42"/>
        <v>4526.72</v>
      </c>
      <c r="S114" s="98">
        <f>R114*$S$29</f>
        <v>724.2752</v>
      </c>
      <c r="T114" s="98">
        <f>R114*$T$29</f>
        <v>135.8016</v>
      </c>
      <c r="U114" s="98">
        <f>R114*$U$29</f>
        <v>203.7024</v>
      </c>
      <c r="V114" s="98">
        <f>SUM(S114:U114)</f>
        <v>1063.7792</v>
      </c>
      <c r="W114" s="143">
        <f t="shared" si="33"/>
        <v>255</v>
      </c>
      <c r="X114" s="143">
        <f t="shared" si="50"/>
        <v>0</v>
      </c>
      <c r="Y114" s="99">
        <f t="shared" si="43"/>
        <v>110</v>
      </c>
      <c r="Z114" s="100">
        <f t="shared" si="37"/>
        <v>3827.9408000000003</v>
      </c>
      <c r="AA114" s="113">
        <f t="shared" si="44"/>
        <v>0</v>
      </c>
      <c r="AB114" s="114">
        <f t="shared" si="45"/>
        <v>3827.9408000000003</v>
      </c>
    </row>
    <row r="115" spans="1:28" ht="19.5" customHeight="1">
      <c r="A115" s="109" t="s">
        <v>19</v>
      </c>
      <c r="B115" s="110">
        <v>0</v>
      </c>
      <c r="C115" s="110"/>
      <c r="D115" s="102">
        <v>2.16</v>
      </c>
      <c r="E115" s="101">
        <f t="shared" si="20"/>
        <v>3138.48</v>
      </c>
      <c r="F115" s="101">
        <f>LOOKUP(B115,'Tabla ANTIG'!$B$5:$B$29,'Tabla ANTIG'!$C$5:$C$29)*E115</f>
        <v>313.848</v>
      </c>
      <c r="G115" s="111">
        <f t="shared" si="38"/>
        <v>0</v>
      </c>
      <c r="H115" s="101">
        <f>LOOKUP(B115,'Tabla ANTIG'!$B$5:$B$29,'Tabla ANTIG'!$C$5:$C$29)*G115</f>
        <v>0</v>
      </c>
      <c r="I115" s="101">
        <f t="shared" si="39"/>
        <v>451</v>
      </c>
      <c r="J115" s="101">
        <f t="shared" si="40"/>
        <v>0</v>
      </c>
      <c r="K115" s="101">
        <v>0</v>
      </c>
      <c r="L115" s="101">
        <v>0</v>
      </c>
      <c r="M115" s="101">
        <v>0</v>
      </c>
      <c r="N115" s="104">
        <f t="shared" si="34"/>
        <v>218</v>
      </c>
      <c r="O115" s="101">
        <f>LOOKUP(B115,'Tabla ANTIG'!$B$5:$B$29,'Tabla ANTIG'!$C$5:$C$29)*N115</f>
        <v>21.8</v>
      </c>
      <c r="P115" s="101">
        <v>0</v>
      </c>
      <c r="Q115" s="104">
        <f>+IF(((E115+K115+N115)-((E115+K115+N115)*0.19))&gt;730,0,730-((E115+K115+N115)-((E115+K115+N115)*0.19)))/0.81</f>
        <v>0</v>
      </c>
      <c r="R115" s="112">
        <f t="shared" si="42"/>
        <v>4143.128</v>
      </c>
      <c r="S115" s="98">
        <f t="shared" si="46"/>
        <v>662.90048</v>
      </c>
      <c r="T115" s="98">
        <f t="shared" si="47"/>
        <v>124.29383999999999</v>
      </c>
      <c r="U115" s="98">
        <f t="shared" si="48"/>
        <v>186.44075999999998</v>
      </c>
      <c r="V115" s="98">
        <f t="shared" si="49"/>
        <v>973.63508</v>
      </c>
      <c r="W115" s="143">
        <f t="shared" si="33"/>
        <v>255</v>
      </c>
      <c r="X115" s="143">
        <f t="shared" si="50"/>
        <v>0</v>
      </c>
      <c r="Y115" s="99">
        <f t="shared" si="43"/>
        <v>110</v>
      </c>
      <c r="Z115" s="100">
        <f t="shared" si="37"/>
        <v>3534.4929199999997</v>
      </c>
      <c r="AA115" s="113">
        <f t="shared" si="44"/>
        <v>0</v>
      </c>
      <c r="AB115" s="114">
        <f t="shared" si="45"/>
        <v>3534.4929199999997</v>
      </c>
    </row>
    <row r="116" spans="1:28" ht="19.5" customHeight="1">
      <c r="A116" s="109" t="s">
        <v>131</v>
      </c>
      <c r="B116" s="110">
        <v>0</v>
      </c>
      <c r="C116" s="110"/>
      <c r="D116" s="102">
        <v>1.7</v>
      </c>
      <c r="E116" s="101">
        <f t="shared" si="20"/>
        <v>2470.1</v>
      </c>
      <c r="F116" s="101">
        <f>LOOKUP(B116,'Tabla ANTIG'!$B$5:$B$29,'Tabla ANTIG'!$C$5:$C$29)*E116</f>
        <v>247.01</v>
      </c>
      <c r="G116" s="111">
        <f t="shared" si="38"/>
        <v>0</v>
      </c>
      <c r="H116" s="101">
        <f>LOOKUP(B116,'Tabla ANTIG'!$B$5:$B$29,'Tabla ANTIG'!$C$5:$C$29)*G116</f>
        <v>0</v>
      </c>
      <c r="I116" s="101">
        <f t="shared" si="39"/>
        <v>451</v>
      </c>
      <c r="J116" s="101">
        <f t="shared" si="40"/>
        <v>0</v>
      </c>
      <c r="K116" s="101">
        <v>0</v>
      </c>
      <c r="L116" s="101">
        <v>0</v>
      </c>
      <c r="M116" s="101">
        <v>0</v>
      </c>
      <c r="N116" s="104">
        <f t="shared" si="34"/>
        <v>218</v>
      </c>
      <c r="O116" s="101">
        <f>LOOKUP(B116,'Tabla ANTIG'!$B$5:$B$29,'Tabla ANTIG'!$C$5:$C$29)*N116</f>
        <v>21.8</v>
      </c>
      <c r="P116" s="101">
        <v>0</v>
      </c>
      <c r="Q116" s="104">
        <f>+IF(((E116+K116+N116)-((E116+K116+N116)*0.19))&gt;730,0,730-((E116+K116+N116)-((E116+K116+N116)*0.19)))/0.81</f>
        <v>0</v>
      </c>
      <c r="R116" s="112">
        <f t="shared" si="42"/>
        <v>3407.91</v>
      </c>
      <c r="S116" s="98">
        <f t="shared" si="46"/>
        <v>545.2656</v>
      </c>
      <c r="T116" s="98">
        <f t="shared" si="47"/>
        <v>102.23729999999999</v>
      </c>
      <c r="U116" s="98">
        <f t="shared" si="48"/>
        <v>153.35594999999998</v>
      </c>
      <c r="V116" s="98">
        <f t="shared" si="49"/>
        <v>800.85885</v>
      </c>
      <c r="W116" s="143">
        <f t="shared" si="33"/>
        <v>255</v>
      </c>
      <c r="X116" s="143">
        <f t="shared" si="50"/>
        <v>0</v>
      </c>
      <c r="Y116" s="99">
        <f t="shared" si="43"/>
        <v>110</v>
      </c>
      <c r="Z116" s="100">
        <f t="shared" si="37"/>
        <v>2972.05115</v>
      </c>
      <c r="AA116" s="113">
        <f t="shared" si="44"/>
        <v>0</v>
      </c>
      <c r="AB116" s="114">
        <f t="shared" si="45"/>
        <v>2972.05115</v>
      </c>
    </row>
    <row r="117" spans="1:28" ht="19.5" customHeight="1">
      <c r="A117" s="109" t="s">
        <v>1</v>
      </c>
      <c r="B117" s="110">
        <v>0</v>
      </c>
      <c r="C117" s="110"/>
      <c r="D117" s="102">
        <v>1.8</v>
      </c>
      <c r="E117" s="101">
        <f t="shared" si="20"/>
        <v>2615.4</v>
      </c>
      <c r="F117" s="101">
        <f>LOOKUP(B117,'Tabla ANTIG'!$B$5:$B$29,'Tabla ANTIG'!$C$5:$C$29)*E117</f>
        <v>261.54</v>
      </c>
      <c r="G117" s="111">
        <f t="shared" si="38"/>
        <v>0</v>
      </c>
      <c r="H117" s="101">
        <f>LOOKUP(B117,'Tabla ANTIG'!$B$5:$B$29,'Tabla ANTIG'!$C$5:$C$29)*G117</f>
        <v>0</v>
      </c>
      <c r="I117" s="101">
        <f t="shared" si="39"/>
        <v>451</v>
      </c>
      <c r="J117" s="101">
        <f t="shared" si="40"/>
        <v>0</v>
      </c>
      <c r="K117" s="101">
        <v>0</v>
      </c>
      <c r="L117" s="101">
        <v>0</v>
      </c>
      <c r="M117" s="101">
        <v>0</v>
      </c>
      <c r="N117" s="104">
        <f t="shared" si="34"/>
        <v>218</v>
      </c>
      <c r="O117" s="101">
        <f>LOOKUP(B117,'Tabla ANTIG'!$B$5:$B$29,'Tabla ANTIG'!$C$5:$C$29)*N117</f>
        <v>21.8</v>
      </c>
      <c r="P117" s="101">
        <v>0</v>
      </c>
      <c r="Q117" s="104">
        <f>+IF(((E117+K117+N117)-((E117+K117+N117)*0.19))&gt;730,0,730-((E117+K117+N117)-((E117+K117+N117)*0.19)))/0.81</f>
        <v>0</v>
      </c>
      <c r="R117" s="112">
        <f t="shared" si="42"/>
        <v>3567.7400000000002</v>
      </c>
      <c r="S117" s="98">
        <f t="shared" si="46"/>
        <v>570.8384000000001</v>
      </c>
      <c r="T117" s="98">
        <f t="shared" si="47"/>
        <v>107.0322</v>
      </c>
      <c r="U117" s="98">
        <f t="shared" si="48"/>
        <v>160.5483</v>
      </c>
      <c r="V117" s="98">
        <f t="shared" si="49"/>
        <v>838.4189000000001</v>
      </c>
      <c r="W117" s="143">
        <f t="shared" si="33"/>
        <v>255</v>
      </c>
      <c r="X117" s="143">
        <f t="shared" si="50"/>
        <v>0</v>
      </c>
      <c r="Y117" s="99">
        <f t="shared" si="43"/>
        <v>110</v>
      </c>
      <c r="Z117" s="100">
        <f t="shared" si="37"/>
        <v>3094.3211</v>
      </c>
      <c r="AA117" s="113">
        <f t="shared" si="44"/>
        <v>0</v>
      </c>
      <c r="AB117" s="114">
        <f t="shared" si="45"/>
        <v>3094.3211</v>
      </c>
    </row>
    <row r="118" spans="1:28" ht="19.5" customHeight="1">
      <c r="A118" s="109" t="s">
        <v>20</v>
      </c>
      <c r="B118" s="110">
        <v>0</v>
      </c>
      <c r="C118" s="110"/>
      <c r="D118" s="102">
        <v>2.04</v>
      </c>
      <c r="E118" s="101">
        <f t="shared" si="20"/>
        <v>2964.12</v>
      </c>
      <c r="F118" s="101">
        <f>LOOKUP(B118,'Tabla ANTIG'!$B$5:$B$29,'Tabla ANTIG'!$C$5:$C$29)*E118</f>
        <v>296.412</v>
      </c>
      <c r="G118" s="111">
        <f t="shared" si="38"/>
        <v>0</v>
      </c>
      <c r="H118" s="101">
        <f>LOOKUP(B118,'Tabla ANTIG'!$B$5:$B$29,'Tabla ANTIG'!$C$5:$C$29)*G118</f>
        <v>0</v>
      </c>
      <c r="I118" s="101">
        <f t="shared" si="39"/>
        <v>451</v>
      </c>
      <c r="J118" s="101">
        <f t="shared" si="40"/>
        <v>0</v>
      </c>
      <c r="K118" s="101">
        <v>0</v>
      </c>
      <c r="L118" s="101">
        <v>0</v>
      </c>
      <c r="M118" s="101">
        <v>0</v>
      </c>
      <c r="N118" s="104">
        <f t="shared" si="34"/>
        <v>218</v>
      </c>
      <c r="O118" s="101">
        <f>LOOKUP(B118,'Tabla ANTIG'!$B$5:$B$29,'Tabla ANTIG'!$C$5:$C$29)*N118</f>
        <v>21.8</v>
      </c>
      <c r="P118" s="101">
        <v>0</v>
      </c>
      <c r="Q118" s="104">
        <f>+IF(((E118+K118+N118)-((E118+K118+N118)*0.19))&gt;730,0,730-((E118+K118+N118)-((E118+K118+N118)*0.19)))/0.81</f>
        <v>0</v>
      </c>
      <c r="R118" s="112">
        <f t="shared" si="42"/>
        <v>3951.332</v>
      </c>
      <c r="S118" s="98">
        <f>R118*$S$29</f>
        <v>632.21312</v>
      </c>
      <c r="T118" s="98">
        <f>R118*$T$29</f>
        <v>118.53996</v>
      </c>
      <c r="U118" s="98">
        <f>R118*$U$29</f>
        <v>177.80993999999998</v>
      </c>
      <c r="V118" s="98">
        <f>SUM(S118:U118)</f>
        <v>928.5630199999999</v>
      </c>
      <c r="W118" s="143">
        <f t="shared" si="33"/>
        <v>255</v>
      </c>
      <c r="X118" s="143">
        <f t="shared" si="50"/>
        <v>0</v>
      </c>
      <c r="Y118" s="99">
        <f t="shared" si="43"/>
        <v>110</v>
      </c>
      <c r="Z118" s="100">
        <f t="shared" si="37"/>
        <v>3387.76898</v>
      </c>
      <c r="AA118" s="113">
        <f t="shared" si="44"/>
        <v>0</v>
      </c>
      <c r="AB118" s="114">
        <f t="shared" si="45"/>
        <v>3387.76898</v>
      </c>
    </row>
    <row r="119" spans="1:28" ht="19.5" customHeight="1">
      <c r="A119" s="109" t="s">
        <v>21</v>
      </c>
      <c r="B119" s="110">
        <v>0</v>
      </c>
      <c r="C119" s="110"/>
      <c r="D119" s="102">
        <v>1.02</v>
      </c>
      <c r="E119" s="101">
        <f t="shared" si="20"/>
        <v>1482.06</v>
      </c>
      <c r="F119" s="101">
        <f>LOOKUP(B119,'Tabla ANTIG'!$B$5:$B$29,'Tabla ANTIG'!$C$5:$C$29)*E119</f>
        <v>148.206</v>
      </c>
      <c r="G119" s="111">
        <f t="shared" si="38"/>
        <v>0</v>
      </c>
      <c r="H119" s="101">
        <f>LOOKUP(B119,'Tabla ANTIG'!$B$5:$B$29,'Tabla ANTIG'!$C$5:$C$29)*G119</f>
        <v>0</v>
      </c>
      <c r="I119" s="101">
        <f t="shared" si="39"/>
        <v>451</v>
      </c>
      <c r="J119" s="101">
        <f t="shared" si="40"/>
        <v>0</v>
      </c>
      <c r="K119" s="101">
        <v>0</v>
      </c>
      <c r="L119" s="101">
        <v>0</v>
      </c>
      <c r="M119" s="101">
        <v>0</v>
      </c>
      <c r="N119" s="104">
        <f t="shared" si="34"/>
        <v>218</v>
      </c>
      <c r="O119" s="101">
        <f>LOOKUP(B119,'Tabla ANTIG'!$B$5:$B$29,'Tabla ANTIG'!$C$5:$C$29)*N119</f>
        <v>21.8</v>
      </c>
      <c r="P119" s="101">
        <v>0</v>
      </c>
      <c r="Q119" s="104">
        <v>75.5</v>
      </c>
      <c r="R119" s="112">
        <f t="shared" si="42"/>
        <v>2396.566</v>
      </c>
      <c r="S119" s="98">
        <f>R119*$S$29</f>
        <v>383.45056</v>
      </c>
      <c r="T119" s="98">
        <f>R119*$T$29</f>
        <v>71.89697999999999</v>
      </c>
      <c r="U119" s="98">
        <f>R119*$U$29</f>
        <v>107.84546999999999</v>
      </c>
      <c r="V119" s="98">
        <f>SUM(S119:U119)</f>
        <v>563.19301</v>
      </c>
      <c r="W119" s="143">
        <f t="shared" si="33"/>
        <v>255</v>
      </c>
      <c r="X119" s="143">
        <f t="shared" si="50"/>
        <v>0</v>
      </c>
      <c r="Y119" s="99">
        <f t="shared" si="43"/>
        <v>110</v>
      </c>
      <c r="Z119" s="100">
        <f t="shared" si="37"/>
        <v>2198.37299</v>
      </c>
      <c r="AA119" s="113">
        <v>148.03</v>
      </c>
      <c r="AB119" s="114">
        <f t="shared" si="45"/>
        <v>2346.40299</v>
      </c>
    </row>
    <row r="120" spans="1:28" ht="19.5" customHeight="1">
      <c r="A120" s="109" t="s">
        <v>3</v>
      </c>
      <c r="B120" s="110">
        <v>0</v>
      </c>
      <c r="C120" s="110"/>
      <c r="D120" s="102">
        <v>1.5</v>
      </c>
      <c r="E120" s="101">
        <f t="shared" si="20"/>
        <v>2179.5</v>
      </c>
      <c r="F120" s="101">
        <f>LOOKUP(B120,'Tabla ANTIG'!$B$5:$B$29,'Tabla ANTIG'!$C$5:$C$29)*E120</f>
        <v>217.95000000000002</v>
      </c>
      <c r="G120" s="111">
        <f t="shared" si="38"/>
        <v>0</v>
      </c>
      <c r="H120" s="101">
        <f>LOOKUP(B120,'Tabla ANTIG'!$B$5:$B$29,'Tabla ANTIG'!$C$5:$C$29)*G120</f>
        <v>0</v>
      </c>
      <c r="I120" s="101">
        <f t="shared" si="39"/>
        <v>451</v>
      </c>
      <c r="J120" s="101">
        <f t="shared" si="40"/>
        <v>0</v>
      </c>
      <c r="K120" s="101">
        <v>0</v>
      </c>
      <c r="L120" s="101">
        <v>0</v>
      </c>
      <c r="M120" s="101">
        <v>0</v>
      </c>
      <c r="N120" s="104">
        <f t="shared" si="34"/>
        <v>218</v>
      </c>
      <c r="O120" s="101">
        <f>LOOKUP(B120,'Tabla ANTIG'!$B$5:$B$29,'Tabla ANTIG'!$C$5:$C$29)*N120</f>
        <v>21.8</v>
      </c>
      <c r="P120" s="101">
        <v>0</v>
      </c>
      <c r="Q120" s="104">
        <f>+IF(((E120+K120+N120)-((E120+K120+N120)*0.19))&gt;730,0,730-((E120+K120+N120)-((E120+K120+N120)*0.19)))/0.81</f>
        <v>0</v>
      </c>
      <c r="R120" s="112">
        <f t="shared" si="42"/>
        <v>3088.25</v>
      </c>
      <c r="S120" s="98">
        <f t="shared" si="46"/>
        <v>494.12</v>
      </c>
      <c r="T120" s="98">
        <f t="shared" si="47"/>
        <v>92.6475</v>
      </c>
      <c r="U120" s="98">
        <f t="shared" si="48"/>
        <v>138.97125</v>
      </c>
      <c r="V120" s="98">
        <f t="shared" si="49"/>
        <v>725.73875</v>
      </c>
      <c r="W120" s="143">
        <f t="shared" si="33"/>
        <v>255</v>
      </c>
      <c r="X120" s="143">
        <f t="shared" si="50"/>
        <v>0</v>
      </c>
      <c r="Y120" s="99">
        <f t="shared" si="43"/>
        <v>110</v>
      </c>
      <c r="Z120" s="100">
        <f t="shared" si="37"/>
        <v>2727.51125</v>
      </c>
      <c r="AA120" s="113">
        <f>IF(((E120+K120+N120+Q120)-((E120+K120+N120+Q120)*0.19))&gt;930,0,930-((E120+K120+N120+Q120)-((E120+K120+N120+Q120)*0.19)))</f>
        <v>0</v>
      </c>
      <c r="AB120" s="114">
        <f t="shared" si="45"/>
        <v>2727.51125</v>
      </c>
    </row>
    <row r="121" spans="1:28" ht="19.5" customHeight="1">
      <c r="A121" s="109" t="s">
        <v>22</v>
      </c>
      <c r="B121" s="110">
        <v>0</v>
      </c>
      <c r="C121" s="110"/>
      <c r="D121" s="102">
        <v>1.5</v>
      </c>
      <c r="E121" s="101">
        <f t="shared" si="20"/>
        <v>2179.5</v>
      </c>
      <c r="F121" s="101">
        <f>LOOKUP(B121,'Tabla ANTIG'!$B$5:$B$29,'Tabla ANTIG'!$C$5:$C$29)*E121</f>
        <v>217.95000000000002</v>
      </c>
      <c r="G121" s="111">
        <f t="shared" si="38"/>
        <v>0</v>
      </c>
      <c r="H121" s="101">
        <f>LOOKUP(B121,'Tabla ANTIG'!$B$5:$B$29,'Tabla ANTIG'!$C$5:$C$29)*G121</f>
        <v>0</v>
      </c>
      <c r="I121" s="101">
        <f t="shared" si="39"/>
        <v>451</v>
      </c>
      <c r="J121" s="101">
        <f t="shared" si="40"/>
        <v>0</v>
      </c>
      <c r="K121" s="101">
        <v>0</v>
      </c>
      <c r="L121" s="101">
        <v>0</v>
      </c>
      <c r="M121" s="101">
        <v>0</v>
      </c>
      <c r="N121" s="104">
        <f t="shared" si="34"/>
        <v>218</v>
      </c>
      <c r="O121" s="101">
        <f>LOOKUP(B121,'Tabla ANTIG'!$B$5:$B$29,'Tabla ANTIG'!$C$5:$C$29)*N121</f>
        <v>21.8</v>
      </c>
      <c r="P121" s="101">
        <v>0</v>
      </c>
      <c r="Q121" s="104">
        <f>+IF(((E121+K121+N121)-((E121+K121+N121)*0.19))&gt;730,0,730-((E121+K121+N121)-((E121+K121+N121)*0.19)))/0.81</f>
        <v>0</v>
      </c>
      <c r="R121" s="112">
        <f t="shared" si="42"/>
        <v>3088.25</v>
      </c>
      <c r="S121" s="98">
        <f t="shared" si="46"/>
        <v>494.12</v>
      </c>
      <c r="T121" s="98">
        <f t="shared" si="47"/>
        <v>92.6475</v>
      </c>
      <c r="U121" s="98">
        <f t="shared" si="48"/>
        <v>138.97125</v>
      </c>
      <c r="V121" s="98">
        <f t="shared" si="49"/>
        <v>725.73875</v>
      </c>
      <c r="W121" s="143">
        <f t="shared" si="33"/>
        <v>255</v>
      </c>
      <c r="X121" s="143">
        <f t="shared" si="50"/>
        <v>0</v>
      </c>
      <c r="Y121" s="99">
        <f t="shared" si="43"/>
        <v>110</v>
      </c>
      <c r="Z121" s="100">
        <f t="shared" si="37"/>
        <v>2727.51125</v>
      </c>
      <c r="AA121" s="113">
        <f>IF(((E121+K121+N121+Q121)-((E121+K121+N121+Q121)*0.19))&gt;930,0,930-((E121+K121+N121+Q121)-((E121+K121+N121+Q121)*0.19)))</f>
        <v>0</v>
      </c>
      <c r="AB121" s="114">
        <f t="shared" si="45"/>
        <v>2727.51125</v>
      </c>
    </row>
    <row r="122" spans="1:28" ht="19.5" customHeight="1">
      <c r="A122" s="109" t="s">
        <v>23</v>
      </c>
      <c r="B122" s="110">
        <v>0</v>
      </c>
      <c r="C122" s="110"/>
      <c r="D122" s="102">
        <v>1.1</v>
      </c>
      <c r="E122" s="101">
        <f t="shared" si="20"/>
        <v>1598.3000000000002</v>
      </c>
      <c r="F122" s="101">
        <f>LOOKUP(B122,'Tabla ANTIG'!$B$5:$B$29,'Tabla ANTIG'!$C$5:$C$29)*E122</f>
        <v>159.83000000000004</v>
      </c>
      <c r="G122" s="111">
        <f t="shared" si="38"/>
        <v>0</v>
      </c>
      <c r="H122" s="101">
        <f>LOOKUP(B122,'Tabla ANTIG'!$B$5:$B$29,'Tabla ANTIG'!$C$5:$C$29)*G122</f>
        <v>0</v>
      </c>
      <c r="I122" s="101">
        <f t="shared" si="39"/>
        <v>451</v>
      </c>
      <c r="J122" s="101">
        <f t="shared" si="40"/>
        <v>0</v>
      </c>
      <c r="K122" s="101">
        <v>0</v>
      </c>
      <c r="L122" s="101">
        <v>0</v>
      </c>
      <c r="M122" s="101">
        <v>0</v>
      </c>
      <c r="N122" s="104">
        <f t="shared" si="34"/>
        <v>218</v>
      </c>
      <c r="O122" s="101">
        <f>LOOKUP(B122,'Tabla ANTIG'!$B$5:$B$29,'Tabla ANTIG'!$C$5:$C$29)*N122</f>
        <v>21.8</v>
      </c>
      <c r="P122" s="101">
        <v>0</v>
      </c>
      <c r="Q122" s="104">
        <v>20.14</v>
      </c>
      <c r="R122" s="112">
        <f t="shared" si="42"/>
        <v>2469.07</v>
      </c>
      <c r="S122" s="98">
        <f t="shared" si="46"/>
        <v>395.05120000000005</v>
      </c>
      <c r="T122" s="98">
        <f t="shared" si="47"/>
        <v>74.0721</v>
      </c>
      <c r="U122" s="98">
        <f t="shared" si="48"/>
        <v>111.10815000000001</v>
      </c>
      <c r="V122" s="98">
        <f t="shared" si="49"/>
        <v>580.2314500000001</v>
      </c>
      <c r="W122" s="143">
        <f t="shared" si="33"/>
        <v>255</v>
      </c>
      <c r="X122" s="143">
        <f t="shared" si="50"/>
        <v>0</v>
      </c>
      <c r="Y122" s="99">
        <f t="shared" si="43"/>
        <v>110</v>
      </c>
      <c r="Z122" s="100">
        <f t="shared" si="37"/>
        <v>2253.83855</v>
      </c>
      <c r="AA122" s="113">
        <v>143.95</v>
      </c>
      <c r="AB122" s="114">
        <f t="shared" si="45"/>
        <v>2397.7885499999998</v>
      </c>
    </row>
    <row r="123" spans="1:28" ht="19.5" customHeight="1">
      <c r="A123" s="115" t="s">
        <v>139</v>
      </c>
      <c r="B123" s="110">
        <v>0</v>
      </c>
      <c r="C123" s="116"/>
      <c r="D123" s="103">
        <v>0.08333333333333333</v>
      </c>
      <c r="E123" s="101">
        <f>D123*$B$9</f>
        <v>121.08333333333333</v>
      </c>
      <c r="F123" s="101">
        <f>LOOKUP(B123,'Tabla ANTIG'!$B$5:$B$29,'Tabla ANTIG'!$C$5:$C$29)*E123</f>
        <v>12.108333333333334</v>
      </c>
      <c r="G123" s="111">
        <f>$B$11/22.5</f>
        <v>0</v>
      </c>
      <c r="H123" s="101">
        <f>LOOKUP(B123,'Tabla ANTIG'!$B$5:$B$29,'Tabla ANTIG'!$C$5:$C$29)*G123</f>
        <v>0</v>
      </c>
      <c r="I123" s="101">
        <f>$B$12*D123</f>
        <v>37.58333333333333</v>
      </c>
      <c r="J123" s="101">
        <f>$B$13/22.5</f>
        <v>0</v>
      </c>
      <c r="K123" s="101">
        <v>0</v>
      </c>
      <c r="L123" s="101">
        <v>0</v>
      </c>
      <c r="M123" s="101">
        <v>0</v>
      </c>
      <c r="N123" s="104">
        <f>$B$10*D123</f>
        <v>18.166666666666664</v>
      </c>
      <c r="O123" s="101">
        <f>LOOKUP(B123,'Tabla ANTIG'!$B$5:$B$29,'Tabla ANTIG'!$C$5:$C$29)*N123</f>
        <v>1.8166666666666664</v>
      </c>
      <c r="P123" s="101">
        <v>0</v>
      </c>
      <c r="Q123" s="104"/>
      <c r="R123" s="112">
        <f t="shared" si="42"/>
        <v>190.7583333333333</v>
      </c>
      <c r="S123" s="98">
        <f>R123*$S$29</f>
        <v>30.521333333333327</v>
      </c>
      <c r="T123" s="98">
        <f>R123*$T$29</f>
        <v>5.722749999999999</v>
      </c>
      <c r="U123" s="98">
        <f>R123*$U$29</f>
        <v>8.584124999999998</v>
      </c>
      <c r="V123" s="98">
        <f>SUM(S123:U123)</f>
        <v>44.82820833333333</v>
      </c>
      <c r="W123" s="143">
        <f>$B$19/12</f>
        <v>21.25</v>
      </c>
      <c r="X123" s="143">
        <f>$B$20/12</f>
        <v>0</v>
      </c>
      <c r="Y123" s="99">
        <f>$B$18/12</f>
        <v>9.166666666666666</v>
      </c>
      <c r="Z123" s="100">
        <f t="shared" si="37"/>
        <v>176.34679166666663</v>
      </c>
      <c r="AA123" s="113"/>
      <c r="AB123" s="114">
        <f t="shared" si="45"/>
        <v>176.34679166666663</v>
      </c>
    </row>
    <row r="124" spans="1:28" ht="19.5" customHeight="1">
      <c r="A124" s="133" t="s">
        <v>134</v>
      </c>
      <c r="B124" s="110">
        <v>0</v>
      </c>
      <c r="C124" s="116"/>
      <c r="D124" s="103">
        <v>0.125</v>
      </c>
      <c r="E124" s="101">
        <f>D124*$B$9</f>
        <v>181.625</v>
      </c>
      <c r="F124" s="101">
        <f>LOOKUP(B124,'Tabla ANTIG'!$B$5:$B$29,'Tabla ANTIG'!$C$5:$C$29)*E124</f>
        <v>18.1625</v>
      </c>
      <c r="G124" s="111">
        <f>$B$11/15</f>
        <v>0</v>
      </c>
      <c r="H124" s="101">
        <f>LOOKUP(B124,'Tabla ANTIG'!$B$5:$B$29,'Tabla ANTIG'!$C$5:$C$29)*G124</f>
        <v>0</v>
      </c>
      <c r="I124" s="101">
        <f>$B$12*D124</f>
        <v>56.375</v>
      </c>
      <c r="J124" s="101">
        <f>$B$13/15</f>
        <v>0</v>
      </c>
      <c r="K124" s="101">
        <v>0</v>
      </c>
      <c r="L124" s="101">
        <v>0</v>
      </c>
      <c r="M124" s="101">
        <v>0</v>
      </c>
      <c r="N124" s="104">
        <f>$B$10*D124</f>
        <v>27.25</v>
      </c>
      <c r="O124" s="101">
        <f>LOOKUP(B124,'Tabla ANTIG'!$B$5:$B$29,'Tabla ANTIG'!$C$5:$C$29)*N124</f>
        <v>2.725</v>
      </c>
      <c r="P124" s="101">
        <v>0</v>
      </c>
      <c r="Q124" s="104"/>
      <c r="R124" s="112">
        <f t="shared" si="42"/>
        <v>286.13750000000005</v>
      </c>
      <c r="S124" s="98">
        <f>R124*$S$29</f>
        <v>45.78200000000001</v>
      </c>
      <c r="T124" s="98">
        <f>R124*$T$29</f>
        <v>8.584125</v>
      </c>
      <c r="U124" s="98">
        <f>R124*$U$29</f>
        <v>12.876187500000002</v>
      </c>
      <c r="V124" s="98">
        <f>SUM(S124:U124)</f>
        <v>67.24231250000001</v>
      </c>
      <c r="W124" s="143">
        <f>$B$19/8</f>
        <v>31.875</v>
      </c>
      <c r="X124" s="143">
        <f>$B$20/8</f>
        <v>0</v>
      </c>
      <c r="Y124" s="99">
        <f>$B$18/8</f>
        <v>13.75</v>
      </c>
      <c r="Z124" s="100">
        <f t="shared" si="37"/>
        <v>264.5201875</v>
      </c>
      <c r="AA124" s="113"/>
      <c r="AB124" s="114">
        <f t="shared" si="45"/>
        <v>264.5201875</v>
      </c>
    </row>
    <row r="125" spans="1:28" ht="19.5" customHeight="1">
      <c r="A125" s="115" t="s">
        <v>219</v>
      </c>
      <c r="B125" s="110">
        <v>0</v>
      </c>
      <c r="C125" s="116"/>
      <c r="D125" s="103">
        <v>0.07142857142857142</v>
      </c>
      <c r="E125" s="101">
        <f>D125*$B$9</f>
        <v>103.78571428571428</v>
      </c>
      <c r="F125" s="101">
        <f>LOOKUP(B125,'Tabla ANTIG'!$B$5:$B$29,'Tabla ANTIG'!$C$5:$C$29)*E125</f>
        <v>10.378571428571428</v>
      </c>
      <c r="G125" s="111">
        <f>$B$11/22.5</f>
        <v>0</v>
      </c>
      <c r="H125" s="101">
        <f>LOOKUP(B125,'Tabla ANTIG'!$B$5:$B$29,'Tabla ANTIG'!$C$5:$C$29)*G125</f>
        <v>0</v>
      </c>
      <c r="I125" s="101">
        <f>$B$12*D125</f>
        <v>32.214285714285715</v>
      </c>
      <c r="J125" s="101">
        <f>$B$13/22.5</f>
        <v>0</v>
      </c>
      <c r="K125" s="101">
        <v>0</v>
      </c>
      <c r="L125" s="101">
        <v>0</v>
      </c>
      <c r="M125" s="101">
        <v>0</v>
      </c>
      <c r="N125" s="104">
        <f>$B$10*D125</f>
        <v>15.571428571428571</v>
      </c>
      <c r="O125" s="101">
        <f>LOOKUP(B125,'Tabla ANTIG'!$B$5:$B$29,'Tabla ANTIG'!$C$5:$C$29)*N125</f>
        <v>1.5571428571428572</v>
      </c>
      <c r="P125" s="101">
        <v>0</v>
      </c>
      <c r="Q125" s="104"/>
      <c r="R125" s="112">
        <f>SUM(E125:Q125)</f>
        <v>163.50714285714287</v>
      </c>
      <c r="S125" s="98">
        <f>R125*$S$29</f>
        <v>26.16114285714286</v>
      </c>
      <c r="T125" s="98">
        <f>R125*$T$29</f>
        <v>4.905214285714286</v>
      </c>
      <c r="U125" s="98">
        <f>R125*$U$29</f>
        <v>7.3578214285714285</v>
      </c>
      <c r="V125" s="98">
        <f>SUM(S125:U125)</f>
        <v>38.42417857142858</v>
      </c>
      <c r="W125" s="143">
        <f>$B$19/14</f>
        <v>18.214285714285715</v>
      </c>
      <c r="X125" s="143">
        <f>$B$20/14</f>
        <v>0</v>
      </c>
      <c r="Y125" s="99">
        <f>$B$18/14</f>
        <v>7.857142857142857</v>
      </c>
      <c r="Z125" s="100">
        <f t="shared" si="37"/>
        <v>151.15439285714288</v>
      </c>
      <c r="AA125" s="113"/>
      <c r="AB125" s="114">
        <f>SUM(Z125:AA125)</f>
        <v>151.15439285714288</v>
      </c>
    </row>
    <row r="126" spans="1:28" ht="19.5" customHeight="1">
      <c r="A126" s="109" t="s">
        <v>24</v>
      </c>
      <c r="B126" s="110">
        <v>0</v>
      </c>
      <c r="C126" s="110"/>
      <c r="D126" s="102">
        <v>1.44</v>
      </c>
      <c r="E126" s="101">
        <f aca="true" t="shared" si="51" ref="E126:E132">D126*$B$9</f>
        <v>2092.3199999999997</v>
      </c>
      <c r="F126" s="101">
        <f>LOOKUP(B126,'Tabla ANTIG'!$B$5:$B$29,'Tabla ANTIG'!$C$5:$C$29)*E126</f>
        <v>209.23199999999997</v>
      </c>
      <c r="G126" s="111">
        <f t="shared" si="38"/>
        <v>0</v>
      </c>
      <c r="H126" s="101">
        <f>LOOKUP(B126,'Tabla ANTIG'!$B$5:$B$29,'Tabla ANTIG'!$C$5:$C$29)*G126</f>
        <v>0</v>
      </c>
      <c r="I126" s="101">
        <f t="shared" si="39"/>
        <v>451</v>
      </c>
      <c r="J126" s="101">
        <f t="shared" si="40"/>
        <v>0</v>
      </c>
      <c r="K126" s="101">
        <v>0</v>
      </c>
      <c r="L126" s="101">
        <v>0</v>
      </c>
      <c r="M126" s="101">
        <v>0</v>
      </c>
      <c r="N126" s="104">
        <f aca="true" t="shared" si="52" ref="N126:N132">$B$10</f>
        <v>218</v>
      </c>
      <c r="O126" s="101">
        <f>LOOKUP(B126,'Tabla ANTIG'!$B$5:$B$29,'Tabla ANTIG'!$C$5:$C$29)*N126</f>
        <v>21.8</v>
      </c>
      <c r="P126" s="101">
        <v>0</v>
      </c>
      <c r="Q126" s="104">
        <f>+IF(((E126+K126+N126)-((E126+K126+N126)*0.19))&gt;730,0,730-((E126+K126+N126)-((E126+K126+N126)*0.19)))/0.81</f>
        <v>0</v>
      </c>
      <c r="R126" s="112">
        <f t="shared" si="42"/>
        <v>2992.352</v>
      </c>
      <c r="S126" s="98">
        <f t="shared" si="46"/>
        <v>478.77632</v>
      </c>
      <c r="T126" s="98">
        <f t="shared" si="47"/>
        <v>89.77055999999999</v>
      </c>
      <c r="U126" s="98">
        <f t="shared" si="48"/>
        <v>134.65583999999998</v>
      </c>
      <c r="V126" s="98">
        <f t="shared" si="49"/>
        <v>703.20272</v>
      </c>
      <c r="W126" s="143">
        <f t="shared" si="33"/>
        <v>255</v>
      </c>
      <c r="X126" s="143">
        <f t="shared" si="50"/>
        <v>0</v>
      </c>
      <c r="Y126" s="99">
        <f aca="true" t="shared" si="53" ref="Y126:Y132">$B$18</f>
        <v>110</v>
      </c>
      <c r="Z126" s="100">
        <f t="shared" si="37"/>
        <v>2654.1492799999996</v>
      </c>
      <c r="AA126" s="113">
        <v>25.76</v>
      </c>
      <c r="AB126" s="114">
        <f t="shared" si="45"/>
        <v>2679.90928</v>
      </c>
    </row>
    <row r="127" spans="1:28" ht="19.5" customHeight="1">
      <c r="A127" s="109" t="s">
        <v>15</v>
      </c>
      <c r="B127" s="110">
        <v>0</v>
      </c>
      <c r="C127" s="110"/>
      <c r="D127" s="102">
        <v>1.32</v>
      </c>
      <c r="E127" s="101">
        <f t="shared" si="51"/>
        <v>1917.96</v>
      </c>
      <c r="F127" s="101">
        <f>LOOKUP(B127,'Tabla ANTIG'!$B$5:$B$29,'Tabla ANTIG'!$C$5:$C$29)*E127</f>
        <v>191.79600000000002</v>
      </c>
      <c r="G127" s="111">
        <f t="shared" si="38"/>
        <v>0</v>
      </c>
      <c r="H127" s="101">
        <f>LOOKUP(B127,'Tabla ANTIG'!$B$5:$B$29,'Tabla ANTIG'!$C$5:$C$29)*G127</f>
        <v>0</v>
      </c>
      <c r="I127" s="101">
        <f t="shared" si="39"/>
        <v>451</v>
      </c>
      <c r="J127" s="101">
        <f t="shared" si="40"/>
        <v>0</v>
      </c>
      <c r="K127" s="101">
        <v>0</v>
      </c>
      <c r="L127" s="101">
        <v>0</v>
      </c>
      <c r="M127" s="101">
        <v>0</v>
      </c>
      <c r="N127" s="104">
        <f t="shared" si="52"/>
        <v>218</v>
      </c>
      <c r="O127" s="101">
        <f>LOOKUP(B127,'Tabla ANTIG'!$B$5:$B$29,'Tabla ANTIG'!$C$5:$C$29)*N127</f>
        <v>21.8</v>
      </c>
      <c r="P127" s="101">
        <v>0</v>
      </c>
      <c r="Q127" s="104">
        <f>+IF(((E127+K127+N127)-((E127+K127+N127)*0.19))&gt;730,0,730-((E127+K127+N127)-((E127+K127+N127)*0.19)))/0.81</f>
        <v>0</v>
      </c>
      <c r="R127" s="112">
        <f t="shared" si="42"/>
        <v>2800.556</v>
      </c>
      <c r="S127" s="98">
        <f t="shared" si="46"/>
        <v>448.08896000000004</v>
      </c>
      <c r="T127" s="98">
        <f t="shared" si="47"/>
        <v>84.01668</v>
      </c>
      <c r="U127" s="98">
        <f t="shared" si="48"/>
        <v>126.02502</v>
      </c>
      <c r="V127" s="98">
        <f t="shared" si="49"/>
        <v>658.13066</v>
      </c>
      <c r="W127" s="143">
        <f t="shared" si="33"/>
        <v>255</v>
      </c>
      <c r="X127" s="143">
        <f t="shared" si="50"/>
        <v>0</v>
      </c>
      <c r="Y127" s="99">
        <f t="shared" si="53"/>
        <v>110</v>
      </c>
      <c r="Z127" s="100">
        <f t="shared" si="37"/>
        <v>2507.42534</v>
      </c>
      <c r="AA127" s="113">
        <v>93.02</v>
      </c>
      <c r="AB127" s="114">
        <f t="shared" si="45"/>
        <v>2600.4453399999998</v>
      </c>
    </row>
    <row r="128" spans="1:28" ht="19.5" customHeight="1">
      <c r="A128" s="109" t="s">
        <v>16</v>
      </c>
      <c r="B128" s="110">
        <v>0</v>
      </c>
      <c r="C128" s="110"/>
      <c r="D128" s="102">
        <v>1.2</v>
      </c>
      <c r="E128" s="101">
        <f t="shared" si="51"/>
        <v>1743.6</v>
      </c>
      <c r="F128" s="101">
        <f>LOOKUP(B128,'Tabla ANTIG'!$B$5:$B$29,'Tabla ANTIG'!$C$5:$C$29)*E128</f>
        <v>174.36</v>
      </c>
      <c r="G128" s="111">
        <f t="shared" si="38"/>
        <v>0</v>
      </c>
      <c r="H128" s="101">
        <f>LOOKUP(B128,'Tabla ANTIG'!$B$5:$B$29,'Tabla ANTIG'!$C$5:$C$29)*G128</f>
        <v>0</v>
      </c>
      <c r="I128" s="101">
        <f t="shared" si="39"/>
        <v>451</v>
      </c>
      <c r="J128" s="101">
        <f t="shared" si="40"/>
        <v>0</v>
      </c>
      <c r="K128" s="101">
        <v>0</v>
      </c>
      <c r="L128" s="101">
        <v>0</v>
      </c>
      <c r="M128" s="101">
        <v>0</v>
      </c>
      <c r="N128" s="104">
        <f t="shared" si="52"/>
        <v>218</v>
      </c>
      <c r="O128" s="101">
        <f>LOOKUP(B128,'Tabla ANTIG'!$B$5:$B$29,'Tabla ANTIG'!$C$5:$C$29)*N128</f>
        <v>21.8</v>
      </c>
      <c r="P128" s="101">
        <v>0</v>
      </c>
      <c r="Q128" s="104">
        <f>+IF(((E128+K128+N128)-((E128+K128+N128)*0.19))&gt;730,0,730-((E128+K128+N128)-((E128+K128+N128)*0.19)))/0.81</f>
        <v>0</v>
      </c>
      <c r="R128" s="112">
        <f t="shared" si="42"/>
        <v>2608.76</v>
      </c>
      <c r="S128" s="98">
        <f t="shared" si="46"/>
        <v>417.40160000000003</v>
      </c>
      <c r="T128" s="98">
        <f>R128*$T$29</f>
        <v>78.2628</v>
      </c>
      <c r="U128" s="98">
        <f>R128*$U$29</f>
        <v>117.39420000000001</v>
      </c>
      <c r="V128" s="98">
        <f>SUM(S128:U128)</f>
        <v>613.0586000000001</v>
      </c>
      <c r="W128" s="143">
        <f t="shared" si="33"/>
        <v>255</v>
      </c>
      <c r="X128" s="143">
        <f t="shared" si="50"/>
        <v>0</v>
      </c>
      <c r="Y128" s="99">
        <f t="shared" si="53"/>
        <v>110</v>
      </c>
      <c r="Z128" s="100">
        <f t="shared" si="37"/>
        <v>2360.7014</v>
      </c>
      <c r="AA128" s="113">
        <v>138.86</v>
      </c>
      <c r="AB128" s="114">
        <f t="shared" si="45"/>
        <v>2499.5614</v>
      </c>
    </row>
    <row r="129" spans="1:28" ht="19.5" customHeight="1">
      <c r="A129" s="109" t="s">
        <v>6</v>
      </c>
      <c r="B129" s="110">
        <v>0</v>
      </c>
      <c r="C129" s="110"/>
      <c r="D129" s="102">
        <v>1</v>
      </c>
      <c r="E129" s="101">
        <f t="shared" si="51"/>
        <v>1453</v>
      </c>
      <c r="F129" s="101">
        <f>LOOKUP(B129,'Tabla ANTIG'!$B$5:$B$29,'Tabla ANTIG'!$C$5:$C$29)*E129</f>
        <v>145.3</v>
      </c>
      <c r="G129" s="111">
        <f t="shared" si="38"/>
        <v>0</v>
      </c>
      <c r="H129" s="101">
        <f>LOOKUP(B129,'Tabla ANTIG'!$B$5:$B$29,'Tabla ANTIG'!$C$5:$C$29)*G129</f>
        <v>0</v>
      </c>
      <c r="I129" s="101">
        <f t="shared" si="39"/>
        <v>451</v>
      </c>
      <c r="J129" s="101">
        <f t="shared" si="40"/>
        <v>0</v>
      </c>
      <c r="K129" s="101">
        <v>0</v>
      </c>
      <c r="L129" s="101">
        <v>0</v>
      </c>
      <c r="M129" s="101">
        <v>0</v>
      </c>
      <c r="N129" s="104">
        <f t="shared" si="52"/>
        <v>218</v>
      </c>
      <c r="O129" s="101">
        <f>LOOKUP(B129,'Tabla ANTIG'!$B$5:$B$29,'Tabla ANTIG'!$C$5:$C$29)*N129</f>
        <v>21.8</v>
      </c>
      <c r="P129" s="101">
        <v>0</v>
      </c>
      <c r="Q129" s="104">
        <v>89.33</v>
      </c>
      <c r="R129" s="112">
        <f t="shared" si="42"/>
        <v>2378.4300000000003</v>
      </c>
      <c r="S129" s="98">
        <f t="shared" si="46"/>
        <v>380.5488</v>
      </c>
      <c r="T129" s="98">
        <f t="shared" si="47"/>
        <v>71.3529</v>
      </c>
      <c r="U129" s="98">
        <f t="shared" si="48"/>
        <v>107.02935000000001</v>
      </c>
      <c r="V129" s="98">
        <f t="shared" si="49"/>
        <v>558.93105</v>
      </c>
      <c r="W129" s="143">
        <f t="shared" si="33"/>
        <v>255</v>
      </c>
      <c r="X129" s="143">
        <f t="shared" si="50"/>
        <v>0</v>
      </c>
      <c r="Y129" s="99">
        <f t="shared" si="53"/>
        <v>110</v>
      </c>
      <c r="Z129" s="100">
        <f t="shared" si="37"/>
        <v>2184.49895</v>
      </c>
      <c r="AA129" s="113">
        <v>149.05</v>
      </c>
      <c r="AB129" s="114">
        <f t="shared" si="45"/>
        <v>2333.5489500000003</v>
      </c>
    </row>
    <row r="130" spans="1:28" ht="19.5" customHeight="1">
      <c r="A130" s="109" t="s">
        <v>13</v>
      </c>
      <c r="B130" s="110">
        <v>0</v>
      </c>
      <c r="C130" s="110"/>
      <c r="D130" s="102">
        <v>1.56</v>
      </c>
      <c r="E130" s="101">
        <f t="shared" si="51"/>
        <v>2266.6800000000003</v>
      </c>
      <c r="F130" s="101">
        <f>LOOKUP(B130,'Tabla ANTIG'!$B$5:$B$29,'Tabla ANTIG'!$C$5:$C$29)*E130</f>
        <v>226.66800000000003</v>
      </c>
      <c r="G130" s="111">
        <f t="shared" si="38"/>
        <v>0</v>
      </c>
      <c r="H130" s="101">
        <f>LOOKUP(B130,'Tabla ANTIG'!$B$5:$B$29,'Tabla ANTIG'!$C$5:$C$29)*G130</f>
        <v>0</v>
      </c>
      <c r="I130" s="101">
        <f t="shared" si="39"/>
        <v>451</v>
      </c>
      <c r="J130" s="101">
        <f t="shared" si="40"/>
        <v>0</v>
      </c>
      <c r="K130" s="101">
        <v>0</v>
      </c>
      <c r="L130" s="101">
        <v>0</v>
      </c>
      <c r="M130" s="101">
        <v>0</v>
      </c>
      <c r="N130" s="104">
        <f t="shared" si="52"/>
        <v>218</v>
      </c>
      <c r="O130" s="101">
        <f>LOOKUP(B130,'Tabla ANTIG'!$B$5:$B$29,'Tabla ANTIG'!$C$5:$C$29)*N130</f>
        <v>21.8</v>
      </c>
      <c r="P130" s="101">
        <v>0</v>
      </c>
      <c r="Q130" s="104">
        <f>+IF(((E130+K130+N130)-((E130+K130+N130)*0.19))&gt;730,0,730-((E130+K130+N130)-((E130+K130+N130)*0.19)))/0.81</f>
        <v>0</v>
      </c>
      <c r="R130" s="112">
        <f t="shared" si="42"/>
        <v>3184.1480000000006</v>
      </c>
      <c r="S130" s="98">
        <f t="shared" si="46"/>
        <v>509.4636800000001</v>
      </c>
      <c r="T130" s="98">
        <f t="shared" si="47"/>
        <v>95.52444000000001</v>
      </c>
      <c r="U130" s="98">
        <f t="shared" si="48"/>
        <v>143.28666</v>
      </c>
      <c r="V130" s="98">
        <f t="shared" si="49"/>
        <v>748.2747800000001</v>
      </c>
      <c r="W130" s="143">
        <f t="shared" si="33"/>
        <v>255</v>
      </c>
      <c r="X130" s="143">
        <f t="shared" si="50"/>
        <v>0</v>
      </c>
      <c r="Y130" s="99">
        <f t="shared" si="53"/>
        <v>110</v>
      </c>
      <c r="Z130" s="100">
        <f t="shared" si="37"/>
        <v>2800.8732200000004</v>
      </c>
      <c r="AA130" s="113">
        <v>0</v>
      </c>
      <c r="AB130" s="114">
        <f t="shared" si="45"/>
        <v>2800.8732200000004</v>
      </c>
    </row>
    <row r="131" spans="1:28" ht="24.75" customHeight="1">
      <c r="A131" s="109" t="s">
        <v>25</v>
      </c>
      <c r="B131" s="110">
        <v>0</v>
      </c>
      <c r="C131" s="110"/>
      <c r="D131" s="102">
        <v>1.2</v>
      </c>
      <c r="E131" s="101">
        <f t="shared" si="51"/>
        <v>1743.6</v>
      </c>
      <c r="F131" s="101">
        <f>LOOKUP(B131,'Tabla ANTIG'!$B$5:$B$29,'Tabla ANTIG'!$C$5:$C$29)*E131</f>
        <v>174.36</v>
      </c>
      <c r="G131" s="111">
        <f t="shared" si="38"/>
        <v>0</v>
      </c>
      <c r="H131" s="101">
        <f>LOOKUP(B131,'Tabla ANTIG'!$B$5:$B$29,'Tabla ANTIG'!$C$5:$C$29)*G131</f>
        <v>0</v>
      </c>
      <c r="I131" s="101">
        <f t="shared" si="39"/>
        <v>451</v>
      </c>
      <c r="J131" s="101">
        <f t="shared" si="40"/>
        <v>0</v>
      </c>
      <c r="K131" s="101">
        <v>0</v>
      </c>
      <c r="L131" s="101">
        <v>0</v>
      </c>
      <c r="M131" s="101">
        <v>0</v>
      </c>
      <c r="N131" s="104">
        <f t="shared" si="52"/>
        <v>218</v>
      </c>
      <c r="O131" s="101">
        <f>LOOKUP(B131,'Tabla ANTIG'!$B$5:$B$29,'Tabla ANTIG'!$C$5:$C$29)*N131</f>
        <v>21.8</v>
      </c>
      <c r="P131" s="101">
        <v>0</v>
      </c>
      <c r="Q131" s="104">
        <f>+IF(((E131+K131+N131)-((E131+K131+N131)*0.19))&gt;730,0,730-((E131+K131+N131)-((E131+K131+N131)*0.19)))/0.81</f>
        <v>0</v>
      </c>
      <c r="R131" s="112">
        <f t="shared" si="42"/>
        <v>2608.76</v>
      </c>
      <c r="S131" s="98">
        <f t="shared" si="46"/>
        <v>417.40160000000003</v>
      </c>
      <c r="T131" s="98">
        <f t="shared" si="47"/>
        <v>78.2628</v>
      </c>
      <c r="U131" s="98">
        <f t="shared" si="48"/>
        <v>117.39420000000001</v>
      </c>
      <c r="V131" s="98">
        <f t="shared" si="49"/>
        <v>613.0586000000001</v>
      </c>
      <c r="W131" s="143">
        <f t="shared" si="33"/>
        <v>255</v>
      </c>
      <c r="X131" s="143">
        <f t="shared" si="50"/>
        <v>0</v>
      </c>
      <c r="Y131" s="99">
        <f t="shared" si="53"/>
        <v>110</v>
      </c>
      <c r="Z131" s="100">
        <f t="shared" si="37"/>
        <v>2360.7014</v>
      </c>
      <c r="AA131" s="113">
        <v>138.86</v>
      </c>
      <c r="AB131" s="114">
        <f t="shared" si="45"/>
        <v>2499.5614</v>
      </c>
    </row>
    <row r="132" spans="1:28" ht="24.75" customHeight="1">
      <c r="A132" s="115" t="s">
        <v>4</v>
      </c>
      <c r="B132" s="110">
        <v>0</v>
      </c>
      <c r="C132" s="116"/>
      <c r="D132" s="102">
        <v>1.2</v>
      </c>
      <c r="E132" s="101">
        <f t="shared" si="51"/>
        <v>1743.6</v>
      </c>
      <c r="F132" s="101">
        <f>LOOKUP(B132,'Tabla ANTIG'!$B$5:$B$29,'Tabla ANTIG'!$C$5:$C$29)*E132</f>
        <v>174.36</v>
      </c>
      <c r="G132" s="111">
        <f t="shared" si="38"/>
        <v>0</v>
      </c>
      <c r="H132" s="101">
        <f>LOOKUP(B132,'Tabla ANTIG'!$B$5:$B$29,'Tabla ANTIG'!$C$5:$C$29)*G132</f>
        <v>0</v>
      </c>
      <c r="I132" s="101">
        <f t="shared" si="39"/>
        <v>451</v>
      </c>
      <c r="J132" s="101">
        <f t="shared" si="40"/>
        <v>0</v>
      </c>
      <c r="K132" s="101">
        <v>0</v>
      </c>
      <c r="L132" s="101">
        <v>0</v>
      </c>
      <c r="M132" s="101">
        <v>0</v>
      </c>
      <c r="N132" s="104">
        <f t="shared" si="52"/>
        <v>218</v>
      </c>
      <c r="O132" s="101">
        <f>LOOKUP(B132,'Tabla ANTIG'!$B$5:$B$29,'Tabla ANTIG'!$C$5:$C$29)*N132</f>
        <v>21.8</v>
      </c>
      <c r="P132" s="101">
        <v>0</v>
      </c>
      <c r="Q132" s="104">
        <f>+IF(((E132+K132+N132)-((E132+K132+N132)*0.19))&gt;730,0,730-((E132+K132+N132)-((E132+K132+N132)*0.19)))/0.81</f>
        <v>0</v>
      </c>
      <c r="R132" s="112">
        <f t="shared" si="42"/>
        <v>2608.76</v>
      </c>
      <c r="S132" s="98">
        <f t="shared" si="46"/>
        <v>417.40160000000003</v>
      </c>
      <c r="T132" s="98">
        <f t="shared" si="47"/>
        <v>78.2628</v>
      </c>
      <c r="U132" s="98">
        <f t="shared" si="48"/>
        <v>117.39420000000001</v>
      </c>
      <c r="V132" s="98">
        <f t="shared" si="49"/>
        <v>613.0586000000001</v>
      </c>
      <c r="W132" s="143">
        <f t="shared" si="33"/>
        <v>255</v>
      </c>
      <c r="X132" s="143">
        <f t="shared" si="50"/>
        <v>0</v>
      </c>
      <c r="Y132" s="99">
        <f t="shared" si="53"/>
        <v>110</v>
      </c>
      <c r="Z132" s="100">
        <f t="shared" si="37"/>
        <v>2360.7014</v>
      </c>
      <c r="AA132" s="113">
        <v>138.86</v>
      </c>
      <c r="AB132" s="114">
        <f t="shared" si="45"/>
        <v>2499.5614</v>
      </c>
    </row>
    <row r="134" spans="1:28" ht="12.75">
      <c r="A134" s="161"/>
      <c r="B134" s="161"/>
      <c r="C134" s="161"/>
      <c r="D134" s="161"/>
      <c r="E134" s="64"/>
      <c r="F134" s="64"/>
      <c r="N134" s="56"/>
      <c r="O134" s="56"/>
      <c r="P134" s="56"/>
      <c r="Q134" s="56"/>
      <c r="S134" s="56"/>
      <c r="T134" s="56"/>
      <c r="U134" s="56"/>
      <c r="V134" s="56"/>
      <c r="W134" s="56"/>
      <c r="X134" s="56"/>
      <c r="Y134" s="56"/>
      <c r="Z134" s="56"/>
      <c r="AA134" s="58"/>
      <c r="AB134" s="58"/>
    </row>
    <row r="135" spans="1:28" ht="12.75">
      <c r="A135" s="61"/>
      <c r="B135" s="61"/>
      <c r="C135" s="61"/>
      <c r="D135" s="63"/>
      <c r="E135" s="64"/>
      <c r="F135" s="64"/>
      <c r="N135" s="62"/>
      <c r="O135" s="62"/>
      <c r="P135" s="62"/>
      <c r="Q135" s="62"/>
      <c r="S135" s="62"/>
      <c r="T135" s="62"/>
      <c r="U135" s="62"/>
      <c r="V135" s="62"/>
      <c r="W135" s="62"/>
      <c r="X135" s="62"/>
      <c r="Y135" s="62"/>
      <c r="Z135" s="62"/>
      <c r="AA135" s="58"/>
      <c r="AB135" s="58"/>
    </row>
    <row r="136" spans="1:28" ht="12.75" customHeight="1" thickBot="1">
      <c r="A136" s="61"/>
      <c r="B136" s="61"/>
      <c r="C136" s="61"/>
      <c r="D136" s="63"/>
      <c r="E136" s="64"/>
      <c r="F136" s="64"/>
      <c r="N136" s="62"/>
      <c r="O136" s="62"/>
      <c r="P136" s="62"/>
      <c r="Q136" s="62"/>
      <c r="S136" s="62"/>
      <c r="T136" s="62"/>
      <c r="U136" s="62"/>
      <c r="V136" s="62"/>
      <c r="W136" s="62"/>
      <c r="X136" s="62"/>
      <c r="Y136" s="62"/>
      <c r="Z136" s="62"/>
      <c r="AA136" s="58"/>
      <c r="AB136" s="58"/>
    </row>
    <row r="137" spans="1:28" ht="12.75">
      <c r="A137" s="148" t="s">
        <v>46</v>
      </c>
      <c r="B137" s="149"/>
      <c r="C137" s="149"/>
      <c r="D137" s="150"/>
      <c r="E137" s="154"/>
      <c r="F137" s="86"/>
      <c r="G137" s="17"/>
      <c r="H137" s="17"/>
      <c r="N137" s="62"/>
      <c r="O137" s="62"/>
      <c r="P137" s="62"/>
      <c r="Q137" s="56"/>
      <c r="S137" s="62"/>
      <c r="T137" s="62"/>
      <c r="U137" s="62"/>
      <c r="V137" s="62"/>
      <c r="W137" s="62"/>
      <c r="X137" s="62"/>
      <c r="Y137" s="62"/>
      <c r="Z137" s="62"/>
      <c r="AA137" s="58"/>
      <c r="AB137" s="58"/>
    </row>
    <row r="138" spans="1:28" ht="12.75">
      <c r="A138" s="151"/>
      <c r="B138" s="152"/>
      <c r="C138" s="152"/>
      <c r="D138" s="153"/>
      <c r="E138" s="154"/>
      <c r="F138" s="86"/>
      <c r="G138" s="17"/>
      <c r="H138" s="17"/>
      <c r="N138" s="62"/>
      <c r="O138" s="62"/>
      <c r="P138" s="62"/>
      <c r="Q138" s="71"/>
      <c r="S138" s="62"/>
      <c r="T138" s="62"/>
      <c r="U138" s="62"/>
      <c r="V138" s="62"/>
      <c r="W138" s="62"/>
      <c r="X138" s="62"/>
      <c r="Y138" s="62"/>
      <c r="Z138" s="62"/>
      <c r="AA138" s="58"/>
      <c r="AB138" s="58"/>
    </row>
    <row r="139" spans="1:28" ht="12.75">
      <c r="A139" s="18" t="s">
        <v>47</v>
      </c>
      <c r="B139" s="76"/>
      <c r="C139" s="76"/>
      <c r="D139" s="134" t="s">
        <v>69</v>
      </c>
      <c r="E139" s="154"/>
      <c r="F139" s="86"/>
      <c r="G139" s="72"/>
      <c r="H139" s="72"/>
      <c r="I139" s="17"/>
      <c r="J139" s="17"/>
      <c r="K139" s="17"/>
      <c r="L139" s="17"/>
      <c r="M139" s="17"/>
      <c r="N139" s="17"/>
      <c r="O139" s="17"/>
      <c r="P139" s="17"/>
      <c r="Q139" s="17"/>
      <c r="S139" s="17"/>
      <c r="T139" s="17"/>
      <c r="U139" s="17"/>
      <c r="V139" s="17"/>
      <c r="W139" s="17"/>
      <c r="X139" s="17"/>
      <c r="Y139" s="17"/>
      <c r="Z139" s="17"/>
      <c r="AA139" s="58"/>
      <c r="AB139" s="58"/>
    </row>
    <row r="140" spans="1:28" ht="12.75">
      <c r="A140" s="15" t="s">
        <v>48</v>
      </c>
      <c r="B140" s="75"/>
      <c r="C140" s="75"/>
      <c r="D140" s="135">
        <v>0.3</v>
      </c>
      <c r="E140" s="87"/>
      <c r="F140" s="87"/>
      <c r="G140" s="72"/>
      <c r="H140" s="72"/>
      <c r="I140" s="17"/>
      <c r="J140" s="17"/>
      <c r="K140" s="17"/>
      <c r="L140" s="17"/>
      <c r="M140" s="17"/>
      <c r="N140" s="17"/>
      <c r="O140" s="17"/>
      <c r="P140" s="17"/>
      <c r="Q140" s="17"/>
      <c r="S140" s="17"/>
      <c r="T140" s="17"/>
      <c r="U140" s="17"/>
      <c r="V140" s="17"/>
      <c r="W140" s="17"/>
      <c r="X140" s="17"/>
      <c r="Y140" s="17"/>
      <c r="Z140" s="17"/>
      <c r="AA140" s="58"/>
      <c r="AB140" s="58"/>
    </row>
    <row r="141" spans="1:28" ht="12.75">
      <c r="A141" s="15" t="s">
        <v>49</v>
      </c>
      <c r="B141" s="75"/>
      <c r="C141" s="75"/>
      <c r="D141" s="135">
        <v>0.6</v>
      </c>
      <c r="E141" s="87"/>
      <c r="F141" s="87"/>
      <c r="G141" s="72"/>
      <c r="H141" s="72"/>
      <c r="I141" s="17"/>
      <c r="J141" s="17"/>
      <c r="K141" s="17"/>
      <c r="L141" s="17"/>
      <c r="M141" s="17"/>
      <c r="N141" s="17"/>
      <c r="O141" s="17"/>
      <c r="P141" s="17"/>
      <c r="Q141" s="17"/>
      <c r="S141" s="17"/>
      <c r="T141" s="17"/>
      <c r="U141" s="17"/>
      <c r="V141" s="17"/>
      <c r="W141" s="17"/>
      <c r="X141" s="17"/>
      <c r="Y141" s="17"/>
      <c r="Z141" s="17"/>
      <c r="AA141" s="58"/>
      <c r="AB141" s="58"/>
    </row>
    <row r="142" spans="1:28" ht="12.75">
      <c r="A142" s="15" t="s">
        <v>50</v>
      </c>
      <c r="B142" s="75"/>
      <c r="C142" s="75"/>
      <c r="D142" s="135">
        <v>0.9</v>
      </c>
      <c r="E142" s="87"/>
      <c r="F142" s="87"/>
      <c r="G142" s="72"/>
      <c r="H142" s="72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58"/>
      <c r="AB142" s="58"/>
    </row>
    <row r="143" spans="1:28" ht="12.75">
      <c r="A143" s="15" t="s">
        <v>51</v>
      </c>
      <c r="B143" s="75"/>
      <c r="C143" s="75"/>
      <c r="D143" s="135">
        <v>1</v>
      </c>
      <c r="E143" s="87"/>
      <c r="F143" s="8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58"/>
      <c r="AB143" s="58"/>
    </row>
    <row r="144" spans="1:28" ht="13.5" thickBot="1">
      <c r="A144" s="16" t="s">
        <v>52</v>
      </c>
      <c r="B144" s="74"/>
      <c r="C144" s="74"/>
      <c r="D144" s="136">
        <v>1.2</v>
      </c>
      <c r="E144" s="87"/>
      <c r="F144" s="8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58"/>
      <c r="AB144" s="58"/>
    </row>
  </sheetData>
  <sheetProtection/>
  <mergeCells count="50">
    <mergeCell ref="S24:Y26"/>
    <mergeCell ref="A4:AA4"/>
    <mergeCell ref="A7:A8"/>
    <mergeCell ref="I7:K7"/>
    <mergeCell ref="I8:K8"/>
    <mergeCell ref="G9:I9"/>
    <mergeCell ref="G10:I10"/>
    <mergeCell ref="G12:I12"/>
    <mergeCell ref="A22:G23"/>
    <mergeCell ref="A27:A30"/>
    <mergeCell ref="B27:C27"/>
    <mergeCell ref="D27:D29"/>
    <mergeCell ref="E27:E29"/>
    <mergeCell ref="AB12:AE12"/>
    <mergeCell ref="I13:K13"/>
    <mergeCell ref="K21:M21"/>
    <mergeCell ref="K22:M22"/>
    <mergeCell ref="K24:M24"/>
    <mergeCell ref="J27:J29"/>
    <mergeCell ref="K27:K29"/>
    <mergeCell ref="L27:L29"/>
    <mergeCell ref="M27:M29"/>
    <mergeCell ref="F27:F29"/>
    <mergeCell ref="G27:G29"/>
    <mergeCell ref="H27:H29"/>
    <mergeCell ref="I27:I29"/>
    <mergeCell ref="V27:V30"/>
    <mergeCell ref="Y27:Y29"/>
    <mergeCell ref="N27:N29"/>
    <mergeCell ref="O27:O29"/>
    <mergeCell ref="P27:P29"/>
    <mergeCell ref="Q27:Q29"/>
    <mergeCell ref="X27:X29"/>
    <mergeCell ref="W27:W30"/>
    <mergeCell ref="Z27:Z30"/>
    <mergeCell ref="AA27:AA29"/>
    <mergeCell ref="AB27:AB30"/>
    <mergeCell ref="B28:B30"/>
    <mergeCell ref="C28:C30"/>
    <mergeCell ref="S29:S30"/>
    <mergeCell ref="T29:T30"/>
    <mergeCell ref="U29:U30"/>
    <mergeCell ref="R27:R30"/>
    <mergeCell ref="S27:U27"/>
    <mergeCell ref="A137:D138"/>
    <mergeCell ref="E137:E139"/>
    <mergeCell ref="A31:AB31"/>
    <mergeCell ref="A75:AB75"/>
    <mergeCell ref="A102:AB102"/>
    <mergeCell ref="A134:D134"/>
  </mergeCells>
  <printOptions/>
  <pageMargins left="0.7480314960629921" right="0.7480314960629921" top="0.984251968503937" bottom="0.984251968503937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80"/>
  <sheetViews>
    <sheetView zoomScalePageLayoutView="0" workbookViewId="0" topLeftCell="A13">
      <selection activeCell="D15" sqref="D15"/>
    </sheetView>
  </sheetViews>
  <sheetFormatPr defaultColWidth="11.421875" defaultRowHeight="12.75"/>
  <cols>
    <col min="1" max="3" width="11.421875" style="3" customWidth="1"/>
    <col min="4" max="4" width="16.421875" style="3" customWidth="1"/>
    <col min="5" max="5" width="13.140625" style="3" customWidth="1"/>
    <col min="6" max="6" width="11.421875" style="3" customWidth="1"/>
    <col min="7" max="7" width="11.421875" style="19" customWidth="1"/>
    <col min="8" max="8" width="11.421875" style="20" customWidth="1"/>
    <col min="9" max="9" width="11.421875" style="19" customWidth="1"/>
    <col min="10" max="16384" width="11.421875" style="3" customWidth="1"/>
  </cols>
  <sheetData>
    <row r="1" ht="12.75"/>
    <row r="2" ht="12.75"/>
    <row r="3" ht="13.5" thickBot="1"/>
    <row r="4" spans="1:9" ht="12.75">
      <c r="A4" s="46"/>
      <c r="B4" s="47"/>
      <c r="C4" s="47"/>
      <c r="D4" s="47"/>
      <c r="E4" s="47"/>
      <c r="F4" s="47"/>
      <c r="G4" s="48"/>
      <c r="H4" s="49"/>
      <c r="I4" s="66"/>
    </row>
    <row r="5" spans="1:9" ht="33" customHeight="1">
      <c r="A5" s="212" t="s">
        <v>68</v>
      </c>
      <c r="B5" s="213"/>
      <c r="C5" s="213"/>
      <c r="D5" s="213"/>
      <c r="E5" s="213"/>
      <c r="F5" s="213"/>
      <c r="G5" s="213"/>
      <c r="H5" s="213"/>
      <c r="I5" s="214"/>
    </row>
    <row r="6" spans="1:9" ht="27.75" customHeight="1">
      <c r="A6" s="218"/>
      <c r="B6" s="263"/>
      <c r="C6" s="221" t="s">
        <v>26</v>
      </c>
      <c r="D6" s="265" t="s">
        <v>55</v>
      </c>
      <c r="E6" s="6" t="s">
        <v>27</v>
      </c>
      <c r="F6" s="267" t="s">
        <v>56</v>
      </c>
      <c r="G6" s="216" t="s">
        <v>148</v>
      </c>
      <c r="H6" s="274" t="s">
        <v>146</v>
      </c>
      <c r="I6" s="275" t="s">
        <v>147</v>
      </c>
    </row>
    <row r="7" spans="1:9" ht="20.25" customHeight="1">
      <c r="A7" s="219"/>
      <c r="B7" s="263"/>
      <c r="C7" s="222"/>
      <c r="D7" s="265"/>
      <c r="E7" s="6"/>
      <c r="F7" s="267"/>
      <c r="G7" s="216"/>
      <c r="H7" s="274"/>
      <c r="I7" s="275"/>
    </row>
    <row r="8" spans="1:9" ht="12.75" customHeight="1">
      <c r="A8" s="219"/>
      <c r="B8" s="263"/>
      <c r="C8" s="222"/>
      <c r="D8" s="265"/>
      <c r="E8" s="65">
        <v>519</v>
      </c>
      <c r="F8" s="267"/>
      <c r="G8" s="216">
        <v>120</v>
      </c>
      <c r="H8" s="226">
        <v>0</v>
      </c>
      <c r="I8" s="276">
        <v>0</v>
      </c>
    </row>
    <row r="9" spans="1:9" ht="20.25" thickBot="1">
      <c r="A9" s="220"/>
      <c r="B9" s="264"/>
      <c r="C9" s="223"/>
      <c r="D9" s="266"/>
      <c r="E9" s="14" t="s">
        <v>28</v>
      </c>
      <c r="F9" s="268"/>
      <c r="G9" s="217"/>
      <c r="H9" s="227"/>
      <c r="I9" s="277"/>
    </row>
    <row r="10" spans="1:9" ht="12.75">
      <c r="A10" s="269" t="s">
        <v>141</v>
      </c>
      <c r="B10" s="248" t="s">
        <v>29</v>
      </c>
      <c r="C10" s="249"/>
      <c r="D10" s="7">
        <v>20</v>
      </c>
      <c r="E10" s="8"/>
      <c r="F10" s="8"/>
      <c r="G10" s="22"/>
      <c r="H10" s="43"/>
      <c r="I10" s="23"/>
    </row>
    <row r="11" spans="1:9" ht="24.75" customHeight="1">
      <c r="A11" s="270"/>
      <c r="B11" s="230" t="s">
        <v>30</v>
      </c>
      <c r="C11" s="231"/>
      <c r="D11" s="4" t="s">
        <v>58</v>
      </c>
      <c r="E11" s="224">
        <v>0.08333333333333333</v>
      </c>
      <c r="F11" s="225" t="s">
        <v>31</v>
      </c>
      <c r="G11" s="215">
        <f>$G$8*E11</f>
        <v>10</v>
      </c>
      <c r="H11" s="273">
        <f>$H$8*E11</f>
        <v>0</v>
      </c>
      <c r="I11" s="210">
        <f>$I$8*E11</f>
        <v>0</v>
      </c>
    </row>
    <row r="12" spans="1:9" ht="24.75" customHeight="1">
      <c r="A12" s="270"/>
      <c r="B12" s="230" t="s">
        <v>32</v>
      </c>
      <c r="C12" s="231"/>
      <c r="D12" s="4" t="s">
        <v>58</v>
      </c>
      <c r="E12" s="224"/>
      <c r="F12" s="225"/>
      <c r="G12" s="215"/>
      <c r="H12" s="273"/>
      <c r="I12" s="210"/>
    </row>
    <row r="13" spans="1:9" ht="24.75" customHeight="1">
      <c r="A13" s="270"/>
      <c r="B13" s="232" t="s">
        <v>57</v>
      </c>
      <c r="C13" s="4" t="s">
        <v>33</v>
      </c>
      <c r="D13" s="4" t="s">
        <v>63</v>
      </c>
      <c r="E13" s="224"/>
      <c r="F13" s="225"/>
      <c r="G13" s="215"/>
      <c r="H13" s="273"/>
      <c r="I13" s="210">
        <f>$I$8</f>
        <v>0</v>
      </c>
    </row>
    <row r="14" spans="1:9" ht="24.75" customHeight="1">
      <c r="A14" s="270"/>
      <c r="B14" s="232"/>
      <c r="C14" s="4" t="s">
        <v>34</v>
      </c>
      <c r="D14" s="4" t="s">
        <v>63</v>
      </c>
      <c r="E14" s="224"/>
      <c r="F14" s="225"/>
      <c r="G14" s="215"/>
      <c r="H14" s="273"/>
      <c r="I14" s="210"/>
    </row>
    <row r="15" spans="1:9" ht="24.75" customHeight="1">
      <c r="A15" s="270"/>
      <c r="B15" s="232"/>
      <c r="C15" s="4" t="s">
        <v>35</v>
      </c>
      <c r="D15" s="4" t="s">
        <v>64</v>
      </c>
      <c r="E15" s="224"/>
      <c r="F15" s="225"/>
      <c r="G15" s="215"/>
      <c r="H15" s="273"/>
      <c r="I15" s="210"/>
    </row>
    <row r="16" spans="1:9" ht="24.75" customHeight="1">
      <c r="A16" s="270"/>
      <c r="B16" s="232"/>
      <c r="C16" s="4" t="s">
        <v>36</v>
      </c>
      <c r="D16" s="4" t="s">
        <v>64</v>
      </c>
      <c r="E16" s="224"/>
      <c r="F16" s="225"/>
      <c r="G16" s="215"/>
      <c r="H16" s="273"/>
      <c r="I16" s="210"/>
    </row>
    <row r="17" spans="1:9" ht="12.75">
      <c r="A17" s="270"/>
      <c r="B17" s="228" t="s">
        <v>37</v>
      </c>
      <c r="C17" s="229"/>
      <c r="D17" s="50">
        <v>20</v>
      </c>
      <c r="E17" s="51"/>
      <c r="F17" s="51"/>
      <c r="G17" s="52"/>
      <c r="H17" s="53"/>
      <c r="I17" s="54"/>
    </row>
    <row r="18" spans="1:9" ht="24.75" customHeight="1">
      <c r="A18" s="270"/>
      <c r="B18" s="230" t="s">
        <v>30</v>
      </c>
      <c r="C18" s="231"/>
      <c r="D18" s="4" t="s">
        <v>58</v>
      </c>
      <c r="E18" s="224">
        <v>0.08333333333333333</v>
      </c>
      <c r="F18" s="225" t="s">
        <v>31</v>
      </c>
      <c r="G18" s="215">
        <f>$G$8*E18</f>
        <v>10</v>
      </c>
      <c r="H18" s="273">
        <f>$H$8*E18</f>
        <v>0</v>
      </c>
      <c r="I18" s="210">
        <f>$I$8*E18</f>
        <v>0</v>
      </c>
    </row>
    <row r="19" spans="1:9" ht="24.75" customHeight="1">
      <c r="A19" s="270"/>
      <c r="B19" s="230" t="s">
        <v>32</v>
      </c>
      <c r="C19" s="231"/>
      <c r="D19" s="4" t="s">
        <v>58</v>
      </c>
      <c r="E19" s="224"/>
      <c r="F19" s="225"/>
      <c r="G19" s="215"/>
      <c r="H19" s="273"/>
      <c r="I19" s="210"/>
    </row>
    <row r="20" spans="1:9" ht="24.75" customHeight="1">
      <c r="A20" s="270"/>
      <c r="B20" s="232" t="s">
        <v>57</v>
      </c>
      <c r="C20" s="4" t="s">
        <v>33</v>
      </c>
      <c r="D20" s="4" t="s">
        <v>63</v>
      </c>
      <c r="E20" s="224"/>
      <c r="F20" s="225"/>
      <c r="G20" s="215"/>
      <c r="H20" s="273"/>
      <c r="I20" s="210">
        <f>$I$8</f>
        <v>0</v>
      </c>
    </row>
    <row r="21" spans="1:9" ht="24.75" customHeight="1">
      <c r="A21" s="270"/>
      <c r="B21" s="232"/>
      <c r="C21" s="4" t="s">
        <v>34</v>
      </c>
      <c r="D21" s="4" t="s">
        <v>63</v>
      </c>
      <c r="E21" s="224"/>
      <c r="F21" s="225"/>
      <c r="G21" s="215"/>
      <c r="H21" s="273"/>
      <c r="I21" s="210"/>
    </row>
    <row r="22" spans="1:9" ht="24.75" customHeight="1">
      <c r="A22" s="270"/>
      <c r="B22" s="232"/>
      <c r="C22" s="4" t="s">
        <v>35</v>
      </c>
      <c r="D22" s="4" t="s">
        <v>64</v>
      </c>
      <c r="E22" s="224"/>
      <c r="F22" s="225"/>
      <c r="G22" s="215"/>
      <c r="H22" s="273"/>
      <c r="I22" s="210"/>
    </row>
    <row r="23" spans="1:9" ht="24.75" customHeight="1">
      <c r="A23" s="270"/>
      <c r="B23" s="232"/>
      <c r="C23" s="4" t="s">
        <v>36</v>
      </c>
      <c r="D23" s="4" t="s">
        <v>64</v>
      </c>
      <c r="E23" s="224"/>
      <c r="F23" s="225"/>
      <c r="G23" s="215"/>
      <c r="H23" s="273"/>
      <c r="I23" s="210"/>
    </row>
    <row r="24" spans="1:9" ht="12.75">
      <c r="A24" s="270"/>
      <c r="B24" s="228" t="s">
        <v>38</v>
      </c>
      <c r="C24" s="229"/>
      <c r="D24" s="50">
        <v>20</v>
      </c>
      <c r="E24" s="51"/>
      <c r="F24" s="51"/>
      <c r="G24" s="52"/>
      <c r="H24" s="53"/>
      <c r="I24" s="54"/>
    </row>
    <row r="25" spans="1:9" ht="24.75" customHeight="1">
      <c r="A25" s="270"/>
      <c r="B25" s="230" t="s">
        <v>30</v>
      </c>
      <c r="C25" s="231"/>
      <c r="D25" s="4" t="s">
        <v>58</v>
      </c>
      <c r="E25" s="224">
        <v>0.08333333333333333</v>
      </c>
      <c r="F25" s="225" t="s">
        <v>31</v>
      </c>
      <c r="G25" s="215">
        <f>$G$8*E25</f>
        <v>10</v>
      </c>
      <c r="H25" s="273">
        <f>$H$8*E25</f>
        <v>0</v>
      </c>
      <c r="I25" s="210">
        <f>$I$8*E25</f>
        <v>0</v>
      </c>
    </row>
    <row r="26" spans="1:9" ht="24.75" customHeight="1">
      <c r="A26" s="270"/>
      <c r="B26" s="230" t="s">
        <v>32</v>
      </c>
      <c r="C26" s="231"/>
      <c r="D26" s="4" t="s">
        <v>58</v>
      </c>
      <c r="E26" s="224"/>
      <c r="F26" s="225"/>
      <c r="G26" s="215"/>
      <c r="H26" s="273"/>
      <c r="I26" s="210"/>
    </row>
    <row r="27" spans="1:9" ht="24.75" customHeight="1">
      <c r="A27" s="270"/>
      <c r="B27" s="232" t="s">
        <v>57</v>
      </c>
      <c r="C27" s="4" t="s">
        <v>33</v>
      </c>
      <c r="D27" s="4" t="s">
        <v>63</v>
      </c>
      <c r="E27" s="224"/>
      <c r="F27" s="225"/>
      <c r="G27" s="215"/>
      <c r="H27" s="273"/>
      <c r="I27" s="210">
        <f>$I$8</f>
        <v>0</v>
      </c>
    </row>
    <row r="28" spans="1:9" ht="24.75" customHeight="1">
      <c r="A28" s="270"/>
      <c r="B28" s="232"/>
      <c r="C28" s="4" t="s">
        <v>34</v>
      </c>
      <c r="D28" s="4" t="s">
        <v>63</v>
      </c>
      <c r="E28" s="224"/>
      <c r="F28" s="225"/>
      <c r="G28" s="215"/>
      <c r="H28" s="273"/>
      <c r="I28" s="210"/>
    </row>
    <row r="29" spans="1:9" ht="24.75" customHeight="1">
      <c r="A29" s="270"/>
      <c r="B29" s="232"/>
      <c r="C29" s="4" t="s">
        <v>35</v>
      </c>
      <c r="D29" s="4" t="s">
        <v>64</v>
      </c>
      <c r="E29" s="224"/>
      <c r="F29" s="225"/>
      <c r="G29" s="215"/>
      <c r="H29" s="273"/>
      <c r="I29" s="210"/>
    </row>
    <row r="30" spans="1:9" ht="24.75" customHeight="1" thickBot="1">
      <c r="A30" s="271"/>
      <c r="B30" s="233"/>
      <c r="C30" s="9" t="s">
        <v>36</v>
      </c>
      <c r="D30" s="9" t="s">
        <v>64</v>
      </c>
      <c r="E30" s="238"/>
      <c r="F30" s="239"/>
      <c r="G30" s="234"/>
      <c r="H30" s="281"/>
      <c r="I30" s="282"/>
    </row>
    <row r="31" spans="1:8" ht="24.75" customHeight="1" thickBot="1">
      <c r="A31" s="10"/>
      <c r="B31" s="13"/>
      <c r="C31" s="11"/>
      <c r="D31" s="11"/>
      <c r="E31" s="12"/>
      <c r="F31" s="11"/>
      <c r="G31" s="21"/>
      <c r="H31" s="45"/>
    </row>
    <row r="32" spans="1:9" ht="12.75">
      <c r="A32" s="269" t="s">
        <v>142</v>
      </c>
      <c r="B32" s="246" t="s">
        <v>39</v>
      </c>
      <c r="C32" s="247"/>
      <c r="D32" s="7">
        <v>20</v>
      </c>
      <c r="E32" s="8"/>
      <c r="F32" s="8"/>
      <c r="G32" s="22"/>
      <c r="H32" s="43"/>
      <c r="I32" s="23"/>
    </row>
    <row r="33" spans="1:9" ht="24.75" customHeight="1">
      <c r="A33" s="270"/>
      <c r="B33" s="252" t="s">
        <v>30</v>
      </c>
      <c r="C33" s="253"/>
      <c r="D33" s="4" t="s">
        <v>58</v>
      </c>
      <c r="E33" s="240">
        <v>0.08333333333333333</v>
      </c>
      <c r="F33" s="235" t="s">
        <v>31</v>
      </c>
      <c r="G33" s="243">
        <f>$G$8*E33</f>
        <v>10</v>
      </c>
      <c r="H33" s="278">
        <f>$H$8*E33</f>
        <v>0</v>
      </c>
      <c r="I33" s="210">
        <f>$I$8*E33</f>
        <v>0</v>
      </c>
    </row>
    <row r="34" spans="1:9" ht="24.75" customHeight="1">
      <c r="A34" s="270"/>
      <c r="B34" s="252" t="s">
        <v>32</v>
      </c>
      <c r="C34" s="253"/>
      <c r="D34" s="4" t="s">
        <v>58</v>
      </c>
      <c r="E34" s="241"/>
      <c r="F34" s="236"/>
      <c r="G34" s="244"/>
      <c r="H34" s="279"/>
      <c r="I34" s="210"/>
    </row>
    <row r="35" spans="1:9" ht="24.75" customHeight="1">
      <c r="A35" s="270"/>
      <c r="B35" s="254" t="s">
        <v>57</v>
      </c>
      <c r="C35" s="4" t="s">
        <v>33</v>
      </c>
      <c r="D35" s="4" t="s">
        <v>59</v>
      </c>
      <c r="E35" s="241"/>
      <c r="F35" s="236"/>
      <c r="G35" s="244"/>
      <c r="H35" s="279"/>
      <c r="I35" s="207">
        <f>$I$8</f>
        <v>0</v>
      </c>
    </row>
    <row r="36" spans="1:9" ht="24.75" customHeight="1">
      <c r="A36" s="270"/>
      <c r="B36" s="255"/>
      <c r="C36" s="4" t="s">
        <v>34</v>
      </c>
      <c r="D36" s="4" t="s">
        <v>59</v>
      </c>
      <c r="E36" s="241"/>
      <c r="F36" s="236"/>
      <c r="G36" s="244"/>
      <c r="H36" s="279"/>
      <c r="I36" s="208"/>
    </row>
    <row r="37" spans="1:9" ht="24.75" customHeight="1">
      <c r="A37" s="270"/>
      <c r="B37" s="255"/>
      <c r="C37" s="4" t="s">
        <v>35</v>
      </c>
      <c r="D37" s="4" t="s">
        <v>64</v>
      </c>
      <c r="E37" s="241"/>
      <c r="F37" s="236"/>
      <c r="G37" s="244"/>
      <c r="H37" s="279"/>
      <c r="I37" s="208"/>
    </row>
    <row r="38" spans="1:9" ht="24.75" customHeight="1">
      <c r="A38" s="270"/>
      <c r="B38" s="256"/>
      <c r="C38" s="4" t="s">
        <v>36</v>
      </c>
      <c r="D38" s="4" t="s">
        <v>64</v>
      </c>
      <c r="E38" s="241"/>
      <c r="F38" s="236"/>
      <c r="G38" s="244"/>
      <c r="H38" s="279"/>
      <c r="I38" s="211"/>
    </row>
    <row r="39" spans="1:9" ht="24.75" customHeight="1" thickBot="1">
      <c r="A39" s="270"/>
      <c r="B39" s="257" t="s">
        <v>40</v>
      </c>
      <c r="C39" s="258"/>
      <c r="D39" s="9" t="s">
        <v>58</v>
      </c>
      <c r="E39" s="242"/>
      <c r="F39" s="237"/>
      <c r="G39" s="245"/>
      <c r="H39" s="280"/>
      <c r="I39" s="67">
        <f>$I$8*E33</f>
        <v>0</v>
      </c>
    </row>
    <row r="40" spans="1:9" ht="12.75">
      <c r="A40" s="270"/>
      <c r="B40" s="246" t="s">
        <v>41</v>
      </c>
      <c r="C40" s="247"/>
      <c r="D40" s="7">
        <v>20</v>
      </c>
      <c r="E40" s="8"/>
      <c r="F40" s="8"/>
      <c r="G40" s="22"/>
      <c r="H40" s="43"/>
      <c r="I40" s="68"/>
    </row>
    <row r="41" spans="1:9" ht="24.75" customHeight="1">
      <c r="A41" s="270"/>
      <c r="B41" s="252" t="s">
        <v>30</v>
      </c>
      <c r="C41" s="253"/>
      <c r="D41" s="4" t="s">
        <v>60</v>
      </c>
      <c r="E41" s="240">
        <v>0.08333333333333333</v>
      </c>
      <c r="F41" s="235" t="s">
        <v>31</v>
      </c>
      <c r="G41" s="243">
        <f>$G$8*E41</f>
        <v>10</v>
      </c>
      <c r="H41" s="278">
        <f>$H$8*E41</f>
        <v>0</v>
      </c>
      <c r="I41" s="210">
        <f>$I$8*E41</f>
        <v>0</v>
      </c>
    </row>
    <row r="42" spans="1:9" ht="24.75" customHeight="1">
      <c r="A42" s="270"/>
      <c r="B42" s="252" t="s">
        <v>32</v>
      </c>
      <c r="C42" s="253"/>
      <c r="D42" s="4" t="s">
        <v>60</v>
      </c>
      <c r="E42" s="241"/>
      <c r="F42" s="236"/>
      <c r="G42" s="244"/>
      <c r="H42" s="279"/>
      <c r="I42" s="210"/>
    </row>
    <row r="43" spans="1:9" ht="24.75" customHeight="1">
      <c r="A43" s="270"/>
      <c r="B43" s="254" t="s">
        <v>57</v>
      </c>
      <c r="C43" s="4" t="s">
        <v>33</v>
      </c>
      <c r="D43" s="4" t="s">
        <v>61</v>
      </c>
      <c r="E43" s="241"/>
      <c r="F43" s="236"/>
      <c r="G43" s="244"/>
      <c r="H43" s="279"/>
      <c r="I43" s="207">
        <f>$I$8</f>
        <v>0</v>
      </c>
    </row>
    <row r="44" spans="1:9" ht="24.75" customHeight="1">
      <c r="A44" s="270"/>
      <c r="B44" s="255"/>
      <c r="C44" s="4" t="s">
        <v>34</v>
      </c>
      <c r="D44" s="4" t="s">
        <v>61</v>
      </c>
      <c r="E44" s="241"/>
      <c r="F44" s="236"/>
      <c r="G44" s="244"/>
      <c r="H44" s="279"/>
      <c r="I44" s="208"/>
    </row>
    <row r="45" spans="1:9" ht="24.75" customHeight="1">
      <c r="A45" s="270"/>
      <c r="B45" s="255"/>
      <c r="C45" s="4" t="s">
        <v>35</v>
      </c>
      <c r="D45" s="4" t="s">
        <v>62</v>
      </c>
      <c r="E45" s="241"/>
      <c r="F45" s="236"/>
      <c r="G45" s="244"/>
      <c r="H45" s="279"/>
      <c r="I45" s="208"/>
    </row>
    <row r="46" spans="1:9" ht="24.75" customHeight="1">
      <c r="A46" s="270"/>
      <c r="B46" s="256"/>
      <c r="C46" s="4" t="s">
        <v>36</v>
      </c>
      <c r="D46" s="4" t="s">
        <v>62</v>
      </c>
      <c r="E46" s="241"/>
      <c r="F46" s="236"/>
      <c r="G46" s="244"/>
      <c r="H46" s="279"/>
      <c r="I46" s="211"/>
    </row>
    <row r="47" spans="1:9" ht="24.75" customHeight="1" thickBot="1">
      <c r="A47" s="270"/>
      <c r="B47" s="257" t="s">
        <v>40</v>
      </c>
      <c r="C47" s="258"/>
      <c r="D47" s="9" t="s">
        <v>60</v>
      </c>
      <c r="E47" s="242"/>
      <c r="F47" s="237"/>
      <c r="G47" s="245"/>
      <c r="H47" s="280"/>
      <c r="I47" s="67">
        <f>$I$8*E41</f>
        <v>0</v>
      </c>
    </row>
    <row r="48" spans="1:9" ht="12.75">
      <c r="A48" s="270"/>
      <c r="B48" s="246" t="s">
        <v>42</v>
      </c>
      <c r="C48" s="247"/>
      <c r="D48" s="7">
        <v>19</v>
      </c>
      <c r="E48" s="8"/>
      <c r="F48" s="8"/>
      <c r="G48" s="22"/>
      <c r="H48" s="43"/>
      <c r="I48" s="23"/>
    </row>
    <row r="49" spans="1:9" ht="24.75" customHeight="1">
      <c r="A49" s="270"/>
      <c r="B49" s="259" t="s">
        <v>30</v>
      </c>
      <c r="C49" s="260"/>
      <c r="D49" s="5" t="s">
        <v>65</v>
      </c>
      <c r="E49" s="240">
        <v>0.08333333333333333</v>
      </c>
      <c r="F49" s="235" t="s">
        <v>31</v>
      </c>
      <c r="G49" s="243">
        <f>$G$8*E49</f>
        <v>10</v>
      </c>
      <c r="H49" s="278">
        <f>$H$8*E49</f>
        <v>0</v>
      </c>
      <c r="I49" s="210">
        <f>$I$8*E49</f>
        <v>0</v>
      </c>
    </row>
    <row r="50" spans="1:9" ht="24.75" customHeight="1">
      <c r="A50" s="270"/>
      <c r="B50" s="259" t="s">
        <v>32</v>
      </c>
      <c r="C50" s="261"/>
      <c r="D50" s="4" t="s">
        <v>65</v>
      </c>
      <c r="E50" s="241"/>
      <c r="F50" s="236"/>
      <c r="G50" s="244"/>
      <c r="H50" s="279"/>
      <c r="I50" s="210"/>
    </row>
    <row r="51" spans="1:9" ht="24.75" customHeight="1">
      <c r="A51" s="270"/>
      <c r="B51" s="254" t="s">
        <v>57</v>
      </c>
      <c r="C51" s="5" t="s">
        <v>33</v>
      </c>
      <c r="D51" s="5" t="s">
        <v>66</v>
      </c>
      <c r="E51" s="241"/>
      <c r="F51" s="236"/>
      <c r="G51" s="244"/>
      <c r="H51" s="279"/>
      <c r="I51" s="207">
        <f>$I$8</f>
        <v>0</v>
      </c>
    </row>
    <row r="52" spans="1:9" ht="24.75" customHeight="1">
      <c r="A52" s="270"/>
      <c r="B52" s="255"/>
      <c r="C52" s="5" t="s">
        <v>34</v>
      </c>
      <c r="D52" s="4" t="s">
        <v>67</v>
      </c>
      <c r="E52" s="241"/>
      <c r="F52" s="236"/>
      <c r="G52" s="244"/>
      <c r="H52" s="279"/>
      <c r="I52" s="208"/>
    </row>
    <row r="53" spans="1:9" ht="24.75" customHeight="1">
      <c r="A53" s="270"/>
      <c r="B53" s="255"/>
      <c r="C53" s="5" t="s">
        <v>35</v>
      </c>
      <c r="D53" s="4" t="s">
        <v>67</v>
      </c>
      <c r="E53" s="241"/>
      <c r="F53" s="236"/>
      <c r="G53" s="244"/>
      <c r="H53" s="279"/>
      <c r="I53" s="208"/>
    </row>
    <row r="54" spans="1:9" ht="24.75" customHeight="1">
      <c r="A54" s="270"/>
      <c r="B54" s="255"/>
      <c r="C54" s="5" t="s">
        <v>36</v>
      </c>
      <c r="D54" s="4" t="s">
        <v>67</v>
      </c>
      <c r="E54" s="241"/>
      <c r="F54" s="236"/>
      <c r="G54" s="244"/>
      <c r="H54" s="279"/>
      <c r="I54" s="211"/>
    </row>
    <row r="55" spans="1:9" ht="24.75" customHeight="1" thickBot="1">
      <c r="A55" s="271"/>
      <c r="B55" s="257" t="s">
        <v>40</v>
      </c>
      <c r="C55" s="272"/>
      <c r="D55" s="9" t="s">
        <v>65</v>
      </c>
      <c r="E55" s="242"/>
      <c r="F55" s="237"/>
      <c r="G55" s="245"/>
      <c r="H55" s="280"/>
      <c r="I55" s="69">
        <f>$I$8*E49</f>
        <v>0</v>
      </c>
    </row>
    <row r="56" spans="1:8" ht="24.75" customHeight="1" thickBot="1">
      <c r="A56" s="10"/>
      <c r="B56" s="11"/>
      <c r="C56" s="11"/>
      <c r="D56" s="11"/>
      <c r="E56" s="12"/>
      <c r="F56" s="11"/>
      <c r="G56" s="21"/>
      <c r="H56" s="45"/>
    </row>
    <row r="57" spans="1:9" ht="19.5">
      <c r="A57" s="269" t="s">
        <v>143</v>
      </c>
      <c r="B57" s="248" t="s">
        <v>43</v>
      </c>
      <c r="C57" s="249"/>
      <c r="D57" s="7">
        <v>22</v>
      </c>
      <c r="E57" s="7" t="s">
        <v>145</v>
      </c>
      <c r="F57" s="8"/>
      <c r="G57" s="22"/>
      <c r="H57" s="43"/>
      <c r="I57" s="70"/>
    </row>
    <row r="58" spans="1:9" ht="24.75" customHeight="1">
      <c r="A58" s="270"/>
      <c r="B58" s="252" t="s">
        <v>30</v>
      </c>
      <c r="C58" s="262"/>
      <c r="D58" s="4" t="s">
        <v>58</v>
      </c>
      <c r="E58" s="224">
        <v>0.1</v>
      </c>
      <c r="F58" s="225" t="s">
        <v>31</v>
      </c>
      <c r="G58" s="243">
        <f>$G$8*E58</f>
        <v>12</v>
      </c>
      <c r="H58" s="279">
        <f>$H$8*E58</f>
        <v>0</v>
      </c>
      <c r="I58" s="207">
        <f>$I$8*E58</f>
        <v>0</v>
      </c>
    </row>
    <row r="59" spans="1:9" ht="24.75" customHeight="1">
      <c r="A59" s="270"/>
      <c r="B59" s="252" t="s">
        <v>32</v>
      </c>
      <c r="C59" s="262"/>
      <c r="D59" s="4" t="s">
        <v>58</v>
      </c>
      <c r="E59" s="224"/>
      <c r="F59" s="225"/>
      <c r="G59" s="244"/>
      <c r="H59" s="279"/>
      <c r="I59" s="208"/>
    </row>
    <row r="60" spans="1:9" ht="24.75" customHeight="1">
      <c r="A60" s="270"/>
      <c r="B60" s="252" t="s">
        <v>33</v>
      </c>
      <c r="C60" s="262"/>
      <c r="D60" s="4" t="s">
        <v>59</v>
      </c>
      <c r="E60" s="224"/>
      <c r="F60" s="225"/>
      <c r="G60" s="244"/>
      <c r="H60" s="279"/>
      <c r="I60" s="208"/>
    </row>
    <row r="61" spans="1:9" ht="24.75" customHeight="1">
      <c r="A61" s="270"/>
      <c r="B61" s="252" t="s">
        <v>34</v>
      </c>
      <c r="C61" s="262"/>
      <c r="D61" s="4" t="s">
        <v>59</v>
      </c>
      <c r="E61" s="224"/>
      <c r="F61" s="225"/>
      <c r="G61" s="244"/>
      <c r="H61" s="279"/>
      <c r="I61" s="208"/>
    </row>
    <row r="62" spans="1:9" ht="24.75" customHeight="1">
      <c r="A62" s="270"/>
      <c r="B62" s="252" t="s">
        <v>35</v>
      </c>
      <c r="C62" s="262"/>
      <c r="D62" s="4" t="s">
        <v>59</v>
      </c>
      <c r="E62" s="224"/>
      <c r="F62" s="225"/>
      <c r="G62" s="244"/>
      <c r="H62" s="279"/>
      <c r="I62" s="208"/>
    </row>
    <row r="63" spans="1:9" ht="24.75" customHeight="1">
      <c r="A63" s="270"/>
      <c r="B63" s="252" t="s">
        <v>36</v>
      </c>
      <c r="C63" s="262"/>
      <c r="D63" s="4" t="s">
        <v>59</v>
      </c>
      <c r="E63" s="224"/>
      <c r="F63" s="225"/>
      <c r="G63" s="244"/>
      <c r="H63" s="279"/>
      <c r="I63" s="208"/>
    </row>
    <row r="64" spans="1:9" ht="24.75" customHeight="1" thickBot="1">
      <c r="A64" s="270"/>
      <c r="B64" s="257" t="s">
        <v>40</v>
      </c>
      <c r="C64" s="272"/>
      <c r="D64" s="9" t="s">
        <v>58</v>
      </c>
      <c r="E64" s="238"/>
      <c r="F64" s="239"/>
      <c r="G64" s="245"/>
      <c r="H64" s="280"/>
      <c r="I64" s="209"/>
    </row>
    <row r="65" spans="1:9" ht="12.75">
      <c r="A65" s="270"/>
      <c r="B65" s="250" t="s">
        <v>44</v>
      </c>
      <c r="C65" s="251"/>
      <c r="D65" s="40">
        <v>22</v>
      </c>
      <c r="E65" s="41"/>
      <c r="F65" s="41"/>
      <c r="G65" s="42"/>
      <c r="H65" s="44"/>
      <c r="I65" s="70"/>
    </row>
    <row r="66" spans="1:9" ht="24.75" customHeight="1">
      <c r="A66" s="270"/>
      <c r="B66" s="252" t="s">
        <v>30</v>
      </c>
      <c r="C66" s="262"/>
      <c r="D66" s="4" t="s">
        <v>60</v>
      </c>
      <c r="E66" s="224">
        <v>0.1</v>
      </c>
      <c r="F66" s="225" t="s">
        <v>31</v>
      </c>
      <c r="G66" s="215">
        <f>$G$8*E66</f>
        <v>12</v>
      </c>
      <c r="H66" s="279">
        <f>$H$8*E66</f>
        <v>0</v>
      </c>
      <c r="I66" s="207">
        <f>$I$8*E66</f>
        <v>0</v>
      </c>
    </row>
    <row r="67" spans="1:9" ht="24.75" customHeight="1">
      <c r="A67" s="270"/>
      <c r="B67" s="252" t="s">
        <v>32</v>
      </c>
      <c r="C67" s="262"/>
      <c r="D67" s="4" t="s">
        <v>60</v>
      </c>
      <c r="E67" s="224"/>
      <c r="F67" s="225"/>
      <c r="G67" s="215"/>
      <c r="H67" s="279"/>
      <c r="I67" s="208"/>
    </row>
    <row r="68" spans="1:9" ht="24.75" customHeight="1">
      <c r="A68" s="270"/>
      <c r="B68" s="252" t="s">
        <v>33</v>
      </c>
      <c r="C68" s="262"/>
      <c r="D68" s="4" t="s">
        <v>61</v>
      </c>
      <c r="E68" s="224"/>
      <c r="F68" s="225"/>
      <c r="G68" s="215"/>
      <c r="H68" s="279"/>
      <c r="I68" s="208"/>
    </row>
    <row r="69" spans="1:9" ht="24.75" customHeight="1">
      <c r="A69" s="270"/>
      <c r="B69" s="252" t="s">
        <v>34</v>
      </c>
      <c r="C69" s="262"/>
      <c r="D69" s="4" t="s">
        <v>61</v>
      </c>
      <c r="E69" s="224"/>
      <c r="F69" s="225"/>
      <c r="G69" s="215"/>
      <c r="H69" s="279"/>
      <c r="I69" s="208"/>
    </row>
    <row r="70" spans="1:9" ht="24.75" customHeight="1">
      <c r="A70" s="270"/>
      <c r="B70" s="252" t="s">
        <v>35</v>
      </c>
      <c r="C70" s="262"/>
      <c r="D70" s="4" t="s">
        <v>62</v>
      </c>
      <c r="E70" s="224"/>
      <c r="F70" s="225"/>
      <c r="G70" s="215"/>
      <c r="H70" s="279"/>
      <c r="I70" s="208"/>
    </row>
    <row r="71" spans="1:9" ht="24.75" customHeight="1">
      <c r="A71" s="270"/>
      <c r="B71" s="252" t="s">
        <v>36</v>
      </c>
      <c r="C71" s="262"/>
      <c r="D71" s="4" t="s">
        <v>62</v>
      </c>
      <c r="E71" s="224"/>
      <c r="F71" s="225"/>
      <c r="G71" s="215"/>
      <c r="H71" s="279"/>
      <c r="I71" s="208"/>
    </row>
    <row r="72" spans="1:9" ht="24.75" customHeight="1" thickBot="1">
      <c r="A72" s="270"/>
      <c r="B72" s="257" t="s">
        <v>40</v>
      </c>
      <c r="C72" s="272"/>
      <c r="D72" s="9" t="s">
        <v>60</v>
      </c>
      <c r="E72" s="238"/>
      <c r="F72" s="239"/>
      <c r="G72" s="234"/>
      <c r="H72" s="280"/>
      <c r="I72" s="209"/>
    </row>
    <row r="73" spans="1:9" ht="12.75">
      <c r="A73" s="270"/>
      <c r="B73" s="250" t="s">
        <v>45</v>
      </c>
      <c r="C73" s="251"/>
      <c r="D73" s="40">
        <v>22</v>
      </c>
      <c r="E73" s="41"/>
      <c r="F73" s="41"/>
      <c r="G73" s="42"/>
      <c r="H73" s="44"/>
      <c r="I73" s="70"/>
    </row>
    <row r="74" spans="1:9" ht="24.75" customHeight="1">
      <c r="A74" s="270"/>
      <c r="B74" s="252" t="s">
        <v>30</v>
      </c>
      <c r="C74" s="262"/>
      <c r="D74" s="4" t="s">
        <v>60</v>
      </c>
      <c r="E74" s="224">
        <v>0.1</v>
      </c>
      <c r="F74" s="225" t="s">
        <v>31</v>
      </c>
      <c r="G74" s="215">
        <f>$G$8*E74</f>
        <v>12</v>
      </c>
      <c r="H74" s="279">
        <f>$H$8*E74</f>
        <v>0</v>
      </c>
      <c r="I74" s="207">
        <f>$I$8*E74</f>
        <v>0</v>
      </c>
    </row>
    <row r="75" spans="1:9" ht="24.75" customHeight="1">
      <c r="A75" s="270"/>
      <c r="B75" s="252" t="s">
        <v>32</v>
      </c>
      <c r="C75" s="262"/>
      <c r="D75" s="4" t="s">
        <v>60</v>
      </c>
      <c r="E75" s="224"/>
      <c r="F75" s="225"/>
      <c r="G75" s="215"/>
      <c r="H75" s="279"/>
      <c r="I75" s="208"/>
    </row>
    <row r="76" spans="1:9" ht="24.75" customHeight="1">
      <c r="A76" s="270"/>
      <c r="B76" s="252" t="s">
        <v>33</v>
      </c>
      <c r="C76" s="262"/>
      <c r="D76" s="4" t="s">
        <v>61</v>
      </c>
      <c r="E76" s="224"/>
      <c r="F76" s="225"/>
      <c r="G76" s="215"/>
      <c r="H76" s="279"/>
      <c r="I76" s="208"/>
    </row>
    <row r="77" spans="1:9" ht="24.75" customHeight="1">
      <c r="A77" s="270"/>
      <c r="B77" s="252" t="s">
        <v>34</v>
      </c>
      <c r="C77" s="262"/>
      <c r="D77" s="4" t="s">
        <v>61</v>
      </c>
      <c r="E77" s="224"/>
      <c r="F77" s="225"/>
      <c r="G77" s="215"/>
      <c r="H77" s="279"/>
      <c r="I77" s="208"/>
    </row>
    <row r="78" spans="1:9" ht="24.75" customHeight="1">
      <c r="A78" s="270"/>
      <c r="B78" s="252" t="s">
        <v>35</v>
      </c>
      <c r="C78" s="262"/>
      <c r="D78" s="4" t="s">
        <v>61</v>
      </c>
      <c r="E78" s="224"/>
      <c r="F78" s="225"/>
      <c r="G78" s="215"/>
      <c r="H78" s="279"/>
      <c r="I78" s="208"/>
    </row>
    <row r="79" spans="1:9" ht="24.75" customHeight="1">
      <c r="A79" s="270"/>
      <c r="B79" s="252" t="s">
        <v>36</v>
      </c>
      <c r="C79" s="262"/>
      <c r="D79" s="4" t="s">
        <v>61</v>
      </c>
      <c r="E79" s="224"/>
      <c r="F79" s="225"/>
      <c r="G79" s="215"/>
      <c r="H79" s="279"/>
      <c r="I79" s="208"/>
    </row>
    <row r="80" spans="1:9" ht="24.75" customHeight="1" thickBot="1">
      <c r="A80" s="271"/>
      <c r="B80" s="257" t="s">
        <v>40</v>
      </c>
      <c r="C80" s="272"/>
      <c r="D80" s="9" t="s">
        <v>60</v>
      </c>
      <c r="E80" s="238"/>
      <c r="F80" s="239"/>
      <c r="G80" s="234"/>
      <c r="H80" s="280"/>
      <c r="I80" s="209"/>
    </row>
  </sheetData>
  <sheetProtection/>
  <mergeCells count="117">
    <mergeCell ref="H74:H80"/>
    <mergeCell ref="H58:H64"/>
    <mergeCell ref="H66:H72"/>
    <mergeCell ref="H49:H55"/>
    <mergeCell ref="I49:I50"/>
    <mergeCell ref="H18:H23"/>
    <mergeCell ref="H25:H30"/>
    <mergeCell ref="I25:I26"/>
    <mergeCell ref="I27:I30"/>
    <mergeCell ref="H41:H47"/>
    <mergeCell ref="H6:H7"/>
    <mergeCell ref="I6:I7"/>
    <mergeCell ref="I8:I9"/>
    <mergeCell ref="H33:H39"/>
    <mergeCell ref="I11:I12"/>
    <mergeCell ref="I13:I16"/>
    <mergeCell ref="I18:I19"/>
    <mergeCell ref="I20:I23"/>
    <mergeCell ref="B79:C79"/>
    <mergeCell ref="B80:C80"/>
    <mergeCell ref="B75:C75"/>
    <mergeCell ref="B76:C76"/>
    <mergeCell ref="B77:C77"/>
    <mergeCell ref="B78:C78"/>
    <mergeCell ref="B70:C70"/>
    <mergeCell ref="B71:C71"/>
    <mergeCell ref="H11:H16"/>
    <mergeCell ref="B61:C61"/>
    <mergeCell ref="B72:C72"/>
    <mergeCell ref="B74:C74"/>
    <mergeCell ref="B66:C66"/>
    <mergeCell ref="B67:C67"/>
    <mergeCell ref="B68:C68"/>
    <mergeCell ref="B69:C69"/>
    <mergeCell ref="B35:B38"/>
    <mergeCell ref="B39:C39"/>
    <mergeCell ref="B41:C41"/>
    <mergeCell ref="B40:C40"/>
    <mergeCell ref="B64:C64"/>
    <mergeCell ref="B51:B54"/>
    <mergeCell ref="B55:C55"/>
    <mergeCell ref="B58:C58"/>
    <mergeCell ref="B59:C59"/>
    <mergeCell ref="B60:C60"/>
    <mergeCell ref="A32:A55"/>
    <mergeCell ref="A57:A80"/>
    <mergeCell ref="A10:A30"/>
    <mergeCell ref="B13:B16"/>
    <mergeCell ref="B11:C11"/>
    <mergeCell ref="B12:C12"/>
    <mergeCell ref="B18:C18"/>
    <mergeCell ref="B19:C19"/>
    <mergeCell ref="B73:C73"/>
    <mergeCell ref="B34:C34"/>
    <mergeCell ref="B33:C33"/>
    <mergeCell ref="B6:B9"/>
    <mergeCell ref="D6:D9"/>
    <mergeCell ref="F6:F9"/>
    <mergeCell ref="B20:B23"/>
    <mergeCell ref="E18:E23"/>
    <mergeCell ref="F18:F23"/>
    <mergeCell ref="B24:C24"/>
    <mergeCell ref="B32:C32"/>
    <mergeCell ref="B10:C10"/>
    <mergeCell ref="B48:C48"/>
    <mergeCell ref="B57:C57"/>
    <mergeCell ref="B65:C65"/>
    <mergeCell ref="B42:C42"/>
    <mergeCell ref="B43:B46"/>
    <mergeCell ref="B47:C47"/>
    <mergeCell ref="B49:C49"/>
    <mergeCell ref="B50:C50"/>
    <mergeCell ref="B62:C62"/>
    <mergeCell ref="B63:C63"/>
    <mergeCell ref="E74:E80"/>
    <mergeCell ref="F74:F80"/>
    <mergeCell ref="G74:G80"/>
    <mergeCell ref="E66:E72"/>
    <mergeCell ref="F66:F72"/>
    <mergeCell ref="G66:G72"/>
    <mergeCell ref="G41:G47"/>
    <mergeCell ref="E33:E39"/>
    <mergeCell ref="G33:G39"/>
    <mergeCell ref="E58:E64"/>
    <mergeCell ref="F58:F64"/>
    <mergeCell ref="G58:G64"/>
    <mergeCell ref="F49:F55"/>
    <mergeCell ref="E49:E55"/>
    <mergeCell ref="G49:G55"/>
    <mergeCell ref="B17:C17"/>
    <mergeCell ref="B25:C25"/>
    <mergeCell ref="B26:C26"/>
    <mergeCell ref="B27:B30"/>
    <mergeCell ref="G25:G30"/>
    <mergeCell ref="F41:F47"/>
    <mergeCell ref="F33:F39"/>
    <mergeCell ref="E25:E30"/>
    <mergeCell ref="F25:F30"/>
    <mergeCell ref="E41:E47"/>
    <mergeCell ref="A5:I5"/>
    <mergeCell ref="G18:G23"/>
    <mergeCell ref="G11:G16"/>
    <mergeCell ref="G6:G7"/>
    <mergeCell ref="G8:G9"/>
    <mergeCell ref="A6:A9"/>
    <mergeCell ref="C6:C9"/>
    <mergeCell ref="E11:E16"/>
    <mergeCell ref="F11:F16"/>
    <mergeCell ref="H8:H9"/>
    <mergeCell ref="I74:I80"/>
    <mergeCell ref="I66:I72"/>
    <mergeCell ref="I33:I34"/>
    <mergeCell ref="I35:I38"/>
    <mergeCell ref="I58:I64"/>
    <mergeCell ref="I51:I54"/>
    <mergeCell ref="I41:I42"/>
    <mergeCell ref="I43:I46"/>
  </mergeCells>
  <printOptions horizontalCentered="1"/>
  <pageMargins left="0.55" right="0.75" top="0.64" bottom="1" header="0" footer="0"/>
  <pageSetup horizontalDpi="600" verticalDpi="600" orientation="portrait" paperSize="9" scale="72" r:id="rId2"/>
  <headerFooter alignWithMargins="0">
    <oddFooter>&amp;C&amp;A&amp;RPágina &amp;P</oddFooter>
  </headerFooter>
  <rowBreaks count="2" manualBreakCount="2">
    <brk id="31" max="255" man="1"/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31"/>
  <sheetViews>
    <sheetView zoomScalePageLayoutView="0" workbookViewId="0" topLeftCell="A16">
      <selection activeCell="E17" sqref="E17"/>
    </sheetView>
  </sheetViews>
  <sheetFormatPr defaultColWidth="11.421875" defaultRowHeight="12.75"/>
  <cols>
    <col min="1" max="1" width="31.421875" style="1" bestFit="1" customWidth="1"/>
    <col min="2" max="4" width="20.7109375" style="24" customWidth="1"/>
    <col min="5" max="16384" width="11.421875" style="1" customWidth="1"/>
  </cols>
  <sheetData>
    <row r="1" ht="12.75"/>
    <row r="2" ht="12.75"/>
    <row r="3" ht="12.75"/>
    <row r="4" ht="12.75"/>
    <row r="5" spans="1:4" ht="38.25" customHeight="1">
      <c r="A5" s="285" t="s">
        <v>70</v>
      </c>
      <c r="B5" s="285"/>
      <c r="C5" s="285"/>
      <c r="D5" s="285"/>
    </row>
    <row r="6" spans="1:4" ht="18">
      <c r="A6" s="286" t="s">
        <v>71</v>
      </c>
      <c r="B6" s="286"/>
      <c r="C6" s="286"/>
      <c r="D6" s="286"/>
    </row>
    <row r="8" spans="1:4" ht="16.5" thickBot="1">
      <c r="A8" s="26" t="s">
        <v>72</v>
      </c>
      <c r="B8" s="27"/>
      <c r="C8" s="27"/>
      <c r="D8" s="27"/>
    </row>
    <row r="9" spans="1:4" ht="15">
      <c r="A9" s="28"/>
      <c r="B9" s="29" t="s">
        <v>73</v>
      </c>
      <c r="C9" s="30" t="s">
        <v>74</v>
      </c>
      <c r="D9" s="27"/>
    </row>
    <row r="10" spans="1:4" ht="15">
      <c r="A10" s="283" t="s">
        <v>75</v>
      </c>
      <c r="B10" s="31" t="s">
        <v>76</v>
      </c>
      <c r="C10" s="32" t="s">
        <v>99</v>
      </c>
      <c r="D10" s="27"/>
    </row>
    <row r="11" spans="1:4" ht="15">
      <c r="A11" s="283"/>
      <c r="B11" s="31" t="s">
        <v>77</v>
      </c>
      <c r="C11" s="32" t="s">
        <v>79</v>
      </c>
      <c r="D11" s="27"/>
    </row>
    <row r="12" spans="1:4" ht="15.75" thickBot="1">
      <c r="A12" s="284"/>
      <c r="B12" s="33" t="s">
        <v>78</v>
      </c>
      <c r="C12" s="34" t="s">
        <v>80</v>
      </c>
      <c r="D12" s="27"/>
    </row>
    <row r="13" spans="1:4" ht="15">
      <c r="A13" s="35"/>
      <c r="B13" s="27"/>
      <c r="C13" s="27"/>
      <c r="D13" s="27"/>
    </row>
    <row r="14" spans="1:4" ht="16.5" thickBot="1">
      <c r="A14" s="26" t="s">
        <v>81</v>
      </c>
      <c r="B14" s="27"/>
      <c r="C14" s="27"/>
      <c r="D14" s="27"/>
    </row>
    <row r="15" spans="1:4" ht="15">
      <c r="A15" s="28"/>
      <c r="B15" s="29" t="s">
        <v>73</v>
      </c>
      <c r="C15" s="30" t="s">
        <v>74</v>
      </c>
      <c r="D15" s="27"/>
    </row>
    <row r="16" spans="1:4" ht="15">
      <c r="A16" s="283" t="s">
        <v>82</v>
      </c>
      <c r="B16" s="31" t="s">
        <v>76</v>
      </c>
      <c r="C16" s="32" t="s">
        <v>83</v>
      </c>
      <c r="D16" s="27"/>
    </row>
    <row r="17" spans="1:4" ht="15">
      <c r="A17" s="283"/>
      <c r="B17" s="31" t="s">
        <v>77</v>
      </c>
      <c r="C17" s="32" t="s">
        <v>84</v>
      </c>
      <c r="D17" s="27"/>
    </row>
    <row r="18" spans="1:4" ht="15.75" thickBot="1">
      <c r="A18" s="284"/>
      <c r="B18" s="33" t="s">
        <v>78</v>
      </c>
      <c r="C18" s="34" t="s">
        <v>85</v>
      </c>
      <c r="D18" s="27"/>
    </row>
    <row r="19" spans="1:4" ht="15">
      <c r="A19" s="35"/>
      <c r="B19" s="27"/>
      <c r="C19" s="27"/>
      <c r="D19" s="27"/>
    </row>
    <row r="20" spans="1:4" ht="16.5" thickBot="1">
      <c r="A20" s="26" t="s">
        <v>88</v>
      </c>
      <c r="B20" s="27"/>
      <c r="C20" s="27"/>
      <c r="D20" s="27"/>
    </row>
    <row r="21" spans="1:4" ht="15">
      <c r="A21" s="28"/>
      <c r="B21" s="29" t="s">
        <v>73</v>
      </c>
      <c r="C21" s="30" t="s">
        <v>86</v>
      </c>
      <c r="D21" s="27"/>
    </row>
    <row r="22" spans="1:4" ht="15">
      <c r="A22" s="283" t="s">
        <v>87</v>
      </c>
      <c r="B22" s="31" t="s">
        <v>76</v>
      </c>
      <c r="C22" s="32" t="s">
        <v>89</v>
      </c>
      <c r="D22" s="27"/>
    </row>
    <row r="23" spans="1:4" ht="15">
      <c r="A23" s="283"/>
      <c r="B23" s="31" t="s">
        <v>77</v>
      </c>
      <c r="C23" s="32" t="s">
        <v>90</v>
      </c>
      <c r="D23" s="27"/>
    </row>
    <row r="24" spans="1:4" ht="15.75" thickBot="1">
      <c r="A24" s="284"/>
      <c r="B24" s="33" t="s">
        <v>78</v>
      </c>
      <c r="C24" s="34" t="s">
        <v>91</v>
      </c>
      <c r="D24" s="27"/>
    </row>
    <row r="25" spans="1:4" ht="15">
      <c r="A25" s="35"/>
      <c r="B25" s="27"/>
      <c r="C25" s="27"/>
      <c r="D25" s="27"/>
    </row>
    <row r="26" spans="1:4" ht="16.5" thickBot="1">
      <c r="A26" s="26" t="s">
        <v>92</v>
      </c>
      <c r="B26" s="27"/>
      <c r="C26" s="27"/>
      <c r="D26" s="27"/>
    </row>
    <row r="27" spans="1:4" s="25" customFormat="1" ht="30">
      <c r="A27" s="36"/>
      <c r="B27" s="37" t="s">
        <v>73</v>
      </c>
      <c r="C27" s="37" t="s">
        <v>86</v>
      </c>
      <c r="D27" s="38" t="s">
        <v>97</v>
      </c>
    </row>
    <row r="28" spans="1:4" ht="15">
      <c r="A28" s="283" t="s">
        <v>93</v>
      </c>
      <c r="B28" s="31" t="s">
        <v>76</v>
      </c>
      <c r="C28" s="31" t="s">
        <v>94</v>
      </c>
      <c r="D28" s="32" t="s">
        <v>98</v>
      </c>
    </row>
    <row r="29" spans="1:4" ht="15">
      <c r="A29" s="283"/>
      <c r="B29" s="31" t="s">
        <v>77</v>
      </c>
      <c r="C29" s="31" t="s">
        <v>95</v>
      </c>
      <c r="D29" s="32">
        <v>3</v>
      </c>
    </row>
    <row r="30" spans="1:4" ht="15.75" thickBot="1">
      <c r="A30" s="284"/>
      <c r="B30" s="33" t="s">
        <v>78</v>
      </c>
      <c r="C30" s="33" t="s">
        <v>96</v>
      </c>
      <c r="D30" s="34" t="s">
        <v>100</v>
      </c>
    </row>
    <row r="31" spans="1:4" ht="15">
      <c r="A31" s="35"/>
      <c r="B31" s="27"/>
      <c r="C31" s="27"/>
      <c r="D31" s="27"/>
    </row>
  </sheetData>
  <sheetProtection/>
  <mergeCells count="6">
    <mergeCell ref="A28:A30"/>
    <mergeCell ref="A5:D5"/>
    <mergeCell ref="A6:D6"/>
    <mergeCell ref="A10:A12"/>
    <mergeCell ref="A16:A18"/>
    <mergeCell ref="A22:A24"/>
  </mergeCells>
  <printOptions/>
  <pageMargins left="0.66" right="0.75" top="0.62" bottom="1" header="0" footer="0"/>
  <pageSetup horizontalDpi="600" verticalDpi="600" orientation="landscape" paperSize="9" r:id="rId2"/>
  <headerFooter alignWithMargins="0">
    <oddFooter>&amp;C&amp;A&amp;RPágina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61"/>
  <sheetViews>
    <sheetView zoomScalePageLayoutView="0" workbookViewId="0" topLeftCell="A40">
      <selection activeCell="F19" sqref="F19"/>
    </sheetView>
  </sheetViews>
  <sheetFormatPr defaultColWidth="11.421875" defaultRowHeight="12.75"/>
  <cols>
    <col min="1" max="1" width="15.7109375" style="0" customWidth="1"/>
    <col min="2" max="2" width="10.7109375" style="0" bestFit="1" customWidth="1"/>
  </cols>
  <sheetData>
    <row r="3" spans="2:3" ht="12.75">
      <c r="B3" s="287" t="s">
        <v>162</v>
      </c>
      <c r="C3" s="287"/>
    </row>
    <row r="4" spans="2:3" ht="13.5" thickBot="1">
      <c r="B4" s="77" t="s">
        <v>163</v>
      </c>
      <c r="C4" s="77" t="s">
        <v>164</v>
      </c>
    </row>
    <row r="5" spans="2:3" ht="12.75">
      <c r="B5" s="78">
        <v>0</v>
      </c>
      <c r="C5" s="79">
        <v>0.1</v>
      </c>
    </row>
    <row r="6" spans="2:3" ht="12.75">
      <c r="B6" s="80">
        <v>1</v>
      </c>
      <c r="C6" s="81">
        <v>0.1</v>
      </c>
    </row>
    <row r="7" spans="2:3" ht="12.75">
      <c r="B7" s="80">
        <v>2</v>
      </c>
      <c r="C7" s="81">
        <v>0.2</v>
      </c>
    </row>
    <row r="8" spans="2:3" ht="12.75">
      <c r="B8" s="80">
        <v>3</v>
      </c>
      <c r="C8" s="81">
        <v>0.2</v>
      </c>
    </row>
    <row r="9" spans="2:3" ht="12.75">
      <c r="B9" s="80">
        <v>4</v>
      </c>
      <c r="C9" s="81">
        <v>0.3</v>
      </c>
    </row>
    <row r="10" spans="2:3" ht="12.75">
      <c r="B10" s="80">
        <v>5</v>
      </c>
      <c r="C10" s="81">
        <v>0.3</v>
      </c>
    </row>
    <row r="11" spans="2:3" ht="12.75">
      <c r="B11" s="80">
        <v>6</v>
      </c>
      <c r="C11" s="81">
        <v>0.3</v>
      </c>
    </row>
    <row r="12" spans="2:3" ht="12.75">
      <c r="B12" s="80">
        <v>7</v>
      </c>
      <c r="C12" s="81">
        <v>0.4</v>
      </c>
    </row>
    <row r="13" spans="2:3" ht="12.75">
      <c r="B13" s="80">
        <v>8</v>
      </c>
      <c r="C13" s="81">
        <v>0.4</v>
      </c>
    </row>
    <row r="14" spans="2:3" ht="12.75">
      <c r="B14" s="80">
        <v>9</v>
      </c>
      <c r="C14" s="81">
        <v>0.4</v>
      </c>
    </row>
    <row r="15" spans="2:3" ht="12.75">
      <c r="B15" s="80">
        <v>10</v>
      </c>
      <c r="C15" s="81">
        <v>0.5</v>
      </c>
    </row>
    <row r="16" spans="2:3" ht="12.75">
      <c r="B16" s="80">
        <v>11</v>
      </c>
      <c r="C16" s="81">
        <v>0.5</v>
      </c>
    </row>
    <row r="17" spans="2:3" ht="12.75">
      <c r="B17" s="80">
        <v>12</v>
      </c>
      <c r="C17" s="81">
        <v>0.6</v>
      </c>
    </row>
    <row r="18" spans="2:3" ht="12.75">
      <c r="B18" s="80">
        <v>13</v>
      </c>
      <c r="C18" s="81">
        <v>0.6</v>
      </c>
    </row>
    <row r="19" spans="2:3" ht="12.75">
      <c r="B19" s="80">
        <v>14</v>
      </c>
      <c r="C19" s="81">
        <v>0.6</v>
      </c>
    </row>
    <row r="20" spans="2:3" ht="12.75">
      <c r="B20" s="80">
        <v>15</v>
      </c>
      <c r="C20" s="81">
        <v>0.7</v>
      </c>
    </row>
    <row r="21" spans="2:3" ht="12.75">
      <c r="B21" s="80">
        <v>16</v>
      </c>
      <c r="C21" s="81">
        <v>0.7</v>
      </c>
    </row>
    <row r="22" spans="2:3" ht="12.75">
      <c r="B22" s="80">
        <v>17</v>
      </c>
      <c r="C22" s="81">
        <v>0.8</v>
      </c>
    </row>
    <row r="23" spans="2:3" ht="12.75">
      <c r="B23" s="80">
        <v>18</v>
      </c>
      <c r="C23" s="81">
        <v>0.8</v>
      </c>
    </row>
    <row r="24" spans="2:3" ht="12.75">
      <c r="B24" s="80">
        <v>19</v>
      </c>
      <c r="C24" s="81">
        <v>0.8</v>
      </c>
    </row>
    <row r="25" spans="2:3" ht="12.75">
      <c r="B25" s="80">
        <v>20</v>
      </c>
      <c r="C25" s="81">
        <v>1</v>
      </c>
    </row>
    <row r="26" spans="2:3" ht="12.75">
      <c r="B26" s="80">
        <v>21</v>
      </c>
      <c r="C26" s="81">
        <v>1</v>
      </c>
    </row>
    <row r="27" spans="2:3" ht="12.75">
      <c r="B27" s="80">
        <v>22</v>
      </c>
      <c r="C27" s="81">
        <v>1.1</v>
      </c>
    </row>
    <row r="28" spans="2:3" ht="12.75">
      <c r="B28" s="80">
        <v>23</v>
      </c>
      <c r="C28" s="81">
        <v>1.1</v>
      </c>
    </row>
    <row r="29" spans="2:3" ht="13.5" thickBot="1">
      <c r="B29" s="82">
        <v>24</v>
      </c>
      <c r="C29" s="83">
        <v>1.2</v>
      </c>
    </row>
    <row r="33" spans="1:2" ht="12.75">
      <c r="A33" s="108" t="s">
        <v>189</v>
      </c>
      <c r="B33" s="108"/>
    </row>
    <row r="34" spans="1:3" ht="12.75">
      <c r="A34" t="s">
        <v>194</v>
      </c>
      <c r="C34" s="105">
        <v>901.23</v>
      </c>
    </row>
    <row r="35" spans="1:3" ht="12.75">
      <c r="A35" t="s">
        <v>198</v>
      </c>
      <c r="C35" s="105">
        <v>930</v>
      </c>
    </row>
    <row r="37" ht="12.75">
      <c r="A37" t="s">
        <v>199</v>
      </c>
    </row>
    <row r="39" spans="1:2" ht="12.75">
      <c r="A39" t="s">
        <v>190</v>
      </c>
      <c r="B39">
        <v>629</v>
      </c>
    </row>
    <row r="40" spans="1:2" ht="12.75">
      <c r="A40" t="s">
        <v>191</v>
      </c>
      <c r="B40">
        <f>B39*10%</f>
        <v>62.900000000000006</v>
      </c>
    </row>
    <row r="41" spans="1:2" ht="12.75">
      <c r="A41" t="s">
        <v>192</v>
      </c>
      <c r="B41">
        <v>120</v>
      </c>
    </row>
    <row r="42" spans="1:2" ht="12.75">
      <c r="A42" t="s">
        <v>193</v>
      </c>
      <c r="B42">
        <v>30</v>
      </c>
    </row>
    <row r="44" spans="1:2" ht="12.75">
      <c r="A44" s="108" t="s">
        <v>195</v>
      </c>
      <c r="B44" s="105">
        <f>C34-B39-B40-B41-B42</f>
        <v>59.33000000000001</v>
      </c>
    </row>
    <row r="45" ht="12.75">
      <c r="B45">
        <f>SUM(B39:B44)</f>
        <v>901.23</v>
      </c>
    </row>
    <row r="46" spans="1:2" ht="12.75">
      <c r="A46" t="s">
        <v>196</v>
      </c>
      <c r="B46" s="106">
        <f>B45-B45*19%</f>
        <v>729.9963</v>
      </c>
    </row>
    <row r="47" spans="1:2" ht="12.75">
      <c r="A47" s="108" t="s">
        <v>197</v>
      </c>
      <c r="B47" s="105">
        <f>C35-B46</f>
        <v>200.00369999999998</v>
      </c>
    </row>
    <row r="48" ht="12.75">
      <c r="B48" s="106">
        <f>SUM(B46:B47)</f>
        <v>930</v>
      </c>
    </row>
    <row r="50" ht="12.75">
      <c r="A50" t="s">
        <v>200</v>
      </c>
    </row>
    <row r="52" spans="1:2" ht="12.75">
      <c r="A52" t="s">
        <v>190</v>
      </c>
      <c r="B52">
        <v>691.9</v>
      </c>
    </row>
    <row r="53" spans="1:2" ht="12.75">
      <c r="A53" t="s">
        <v>191</v>
      </c>
      <c r="B53">
        <f>B52*10%</f>
        <v>69.19</v>
      </c>
    </row>
    <row r="54" spans="1:2" ht="12.75">
      <c r="A54" t="s">
        <v>192</v>
      </c>
      <c r="B54">
        <v>120</v>
      </c>
    </row>
    <row r="55" spans="1:2" ht="12.75">
      <c r="A55" t="s">
        <v>201</v>
      </c>
      <c r="B55">
        <v>94.35</v>
      </c>
    </row>
    <row r="57" spans="1:3" ht="12.75">
      <c r="A57" t="s">
        <v>195</v>
      </c>
      <c r="B57" s="105">
        <f>C34-B52-B53-B54-B55</f>
        <v>-74.20999999999995</v>
      </c>
      <c r="C57" s="107" t="s">
        <v>202</v>
      </c>
    </row>
    <row r="58" ht="12.75">
      <c r="B58">
        <f>B52+B53+B54+B55</f>
        <v>975.4399999999999</v>
      </c>
    </row>
    <row r="59" spans="1:2" ht="12.75">
      <c r="A59" t="s">
        <v>196</v>
      </c>
      <c r="B59" s="106">
        <f>B58-B58*19%</f>
        <v>790.1063999999999</v>
      </c>
    </row>
    <row r="60" spans="1:2" ht="12.75">
      <c r="A60" s="108" t="s">
        <v>197</v>
      </c>
      <c r="B60" s="105">
        <f>C35-B59</f>
        <v>139.8936000000001</v>
      </c>
    </row>
    <row r="61" ht="12.75">
      <c r="B61" s="106">
        <f>SUM(B59:B60)</f>
        <v>930</v>
      </c>
    </row>
  </sheetData>
  <sheetProtection/>
  <mergeCells count="1">
    <mergeCell ref="B3:C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M. Sirotzky</dc:creator>
  <cp:keywords/>
  <dc:description/>
  <cp:lastModifiedBy>Karina</cp:lastModifiedBy>
  <cp:lastPrinted>2011-03-16T18:56:12Z</cp:lastPrinted>
  <dcterms:created xsi:type="dcterms:W3CDTF">2004-08-06T14:50:16Z</dcterms:created>
  <dcterms:modified xsi:type="dcterms:W3CDTF">2012-03-26T14:41:15Z</dcterms:modified>
  <cp:category/>
  <cp:version/>
  <cp:contentType/>
  <cp:contentStatus/>
</cp:coreProperties>
</file>