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firstSheet="1" activeTab="1"/>
  </bookViews>
  <sheets>
    <sheet name="Grilla salarial 09-10" sheetId="1" r:id="rId1"/>
    <sheet name="Grilla salarial 03-12" sheetId="2" r:id="rId2"/>
  </sheets>
  <definedNames/>
  <calcPr fullCalcOnLoad="1"/>
</workbook>
</file>

<file path=xl/sharedStrings.xml><?xml version="1.0" encoding="utf-8"?>
<sst xmlns="http://schemas.openxmlformats.org/spreadsheetml/2006/main" count="926" uniqueCount="147">
  <si>
    <t>Denominación del cargo</t>
  </si>
  <si>
    <t>Códigos</t>
  </si>
  <si>
    <t>Índice asignación de cargo</t>
  </si>
  <si>
    <t>Sueldo básico</t>
  </si>
  <si>
    <t>Jardín de Infantes Común</t>
  </si>
  <si>
    <t>Director de Jardín de Infantes Independeniente</t>
  </si>
  <si>
    <t>Adicional sueldo básico</t>
  </si>
  <si>
    <t>Vicedirector</t>
  </si>
  <si>
    <t>Maestro Secretario</t>
  </si>
  <si>
    <t>Primaria Común</t>
  </si>
  <si>
    <t>Director</t>
  </si>
  <si>
    <t>Maestro Bibliotecario</t>
  </si>
  <si>
    <t>Maestro de Grado</t>
  </si>
  <si>
    <t xml:space="preserve">Hora cátedra Maestro Especial </t>
  </si>
  <si>
    <t>Jardín/Inicial Jornada Completa</t>
  </si>
  <si>
    <t>Hora cátedra Maestro Especial</t>
  </si>
  <si>
    <t>Primaria Jornada Completa</t>
  </si>
  <si>
    <t>Primaria de Adultos</t>
  </si>
  <si>
    <t>Maestro de Grado o Ciclo</t>
  </si>
  <si>
    <t>Maestro Materias Complementarias</t>
  </si>
  <si>
    <t>Maestro Reeducador Vocal</t>
  </si>
  <si>
    <t>Maestro Reeducador Acústico</t>
  </si>
  <si>
    <t>Maestro Asistente Social</t>
  </si>
  <si>
    <t>Maestro Psicólogo</t>
  </si>
  <si>
    <t>Preceptor</t>
  </si>
  <si>
    <t>Ayudante Clases/Trabajos Prácticos</t>
  </si>
  <si>
    <t>Hora Maestro de Grado o Grupo</t>
  </si>
  <si>
    <t>Hora Maestro Reeducador Vocal</t>
  </si>
  <si>
    <t>Hora Maestro Psicólogo</t>
  </si>
  <si>
    <t>Hora Maestro Actividades Prácticas</t>
  </si>
  <si>
    <t>Hora Maestro Gabinetista</t>
  </si>
  <si>
    <t>Maestro Gabinetista Psicotécnico</t>
  </si>
  <si>
    <t>Hora Maestro Asistente Social</t>
  </si>
  <si>
    <t>Enfermería Nivel Medio</t>
  </si>
  <si>
    <t>Instructor de Enfermería</t>
  </si>
  <si>
    <t>Nivel Medio Común</t>
  </si>
  <si>
    <t>Rector</t>
  </si>
  <si>
    <t>Director de Estudios</t>
  </si>
  <si>
    <t>Secretario</t>
  </si>
  <si>
    <t>Prosecretario</t>
  </si>
  <si>
    <t>Bibliotecario</t>
  </si>
  <si>
    <t>Jefe de Preceptores</t>
  </si>
  <si>
    <t>Sub-Jefe de Preceptores</t>
  </si>
  <si>
    <t>Ayudante de Clases Prácticas</t>
  </si>
  <si>
    <t>Hora cátedra</t>
  </si>
  <si>
    <t>Regente</t>
  </si>
  <si>
    <t>Jefe de Laboratorio</t>
  </si>
  <si>
    <t>Maestro de Enseñanza Práctica</t>
  </si>
  <si>
    <t>Maestro de Enseñanza Práctica Jefe de Sección</t>
  </si>
  <si>
    <t>Maestro Ayudante de Enseñanza Práctica</t>
  </si>
  <si>
    <t>Ayudante Técnico de Trabajos Prácticos</t>
  </si>
  <si>
    <t>Nivel Medio Tiempo Completo</t>
  </si>
  <si>
    <t>Profesor Tiempo Completo</t>
  </si>
  <si>
    <t>Vicerrector o Director de Estudios</t>
  </si>
  <si>
    <t>Profesor Jefe de Trabajos Prácticos</t>
  </si>
  <si>
    <t>Profesor Asistente de Trabajos Prácticos</t>
  </si>
  <si>
    <t>Pro-secretario</t>
  </si>
  <si>
    <t>Bedel</t>
  </si>
  <si>
    <t>Hora Cátedra</t>
  </si>
  <si>
    <t>Ayudante de Trabajos Prácticos</t>
  </si>
  <si>
    <t>Valor índice:</t>
  </si>
  <si>
    <t>Valor sueldo básico</t>
  </si>
  <si>
    <t>Valor adicional</t>
  </si>
  <si>
    <r>
      <t xml:space="preserve">Enseñanza Especial R.M. 278/92 </t>
    </r>
    <r>
      <rPr>
        <sz val="10"/>
        <color indexed="9"/>
        <rFont val="Helvetica"/>
        <family val="2"/>
      </rPr>
      <t>(Reglamento Enseñanza Especial)</t>
    </r>
  </si>
  <si>
    <t>Valor sueldo básico Rem./Bonif.</t>
  </si>
  <si>
    <t>Valor adicional Rem./Bonif.</t>
  </si>
  <si>
    <t>Asig. Estímulo Educ. 10% Básico Rem/No Bonif.</t>
  </si>
  <si>
    <t>Códigos de cargo (no monetarios)</t>
  </si>
  <si>
    <t xml:space="preserve">Total Sueldo Básico + Adicional  Rem./Bonif. </t>
  </si>
  <si>
    <t>Director Jornada Completa</t>
  </si>
  <si>
    <t xml:space="preserve">Vicedirector Jornada Completa </t>
  </si>
  <si>
    <t>Director Jornada Simple</t>
  </si>
  <si>
    <t>Vicedirector Jornada Simple</t>
  </si>
  <si>
    <t>(*)</t>
  </si>
  <si>
    <t>Hora Maestro Reeducador Acústico</t>
  </si>
  <si>
    <t>Jefe General Enseñanza Práctica</t>
  </si>
  <si>
    <t xml:space="preserve">Maestro Celador </t>
  </si>
  <si>
    <t>Adic. Art. 128 Estatuto del Docente Rem./       No Bonif.</t>
  </si>
  <si>
    <t>1 año</t>
  </si>
  <si>
    <t>4 años</t>
  </si>
  <si>
    <t>7 años</t>
  </si>
  <si>
    <t>10 años</t>
  </si>
  <si>
    <t>12 años</t>
  </si>
  <si>
    <t>14 años</t>
  </si>
  <si>
    <t>18 años</t>
  </si>
  <si>
    <t>20 años</t>
  </si>
  <si>
    <t>22 años</t>
  </si>
  <si>
    <t>Escala de antigüedades desde 09-2004</t>
  </si>
  <si>
    <t>Nivel Superior Docente</t>
  </si>
  <si>
    <t>Profesor de Enfermería (Instructor 36 horas cátedra)</t>
  </si>
  <si>
    <t>Maestro Jardinera/Sección</t>
  </si>
  <si>
    <t>Maestro de Grado o Grupo Escolar (*)</t>
  </si>
  <si>
    <t>Profesor Tiempo Parcial 1 (30 horas)</t>
  </si>
  <si>
    <t>Profesor Tiempo Parcial 2 (24 horas)</t>
  </si>
  <si>
    <t>Profesor Tiempo Parcial 3 (18 horas)</t>
  </si>
  <si>
    <t>Profesor Tiempo Parcial 4 (12 horas)</t>
  </si>
  <si>
    <t>Nivel Superior Técnico - Enfermería</t>
  </si>
  <si>
    <t>Hora Maestro de Materias Especiales (hora cátedra)</t>
  </si>
  <si>
    <t>Nivel Medio Técnico</t>
  </si>
  <si>
    <t>Retenciones por aportes personales</t>
  </si>
  <si>
    <t>Incluye Maestro Integrador (R.M. Nº 278/92)</t>
  </si>
  <si>
    <t>SIJyP Régimen de Reparto    11%</t>
  </si>
  <si>
    <t>Obra Social 3%</t>
  </si>
  <si>
    <t>INSSJP - Ley 19032 3%</t>
  </si>
  <si>
    <t>Ley 24.016 Dec. 137/05 2%</t>
  </si>
  <si>
    <t>Caja Compl. 4,5%</t>
  </si>
  <si>
    <t>16 años</t>
  </si>
  <si>
    <t xml:space="preserve"> </t>
  </si>
  <si>
    <t>Valores índices modificados por el Decreto 793/2006.</t>
  </si>
  <si>
    <t>Asesor Pedagógico 36 horas</t>
  </si>
  <si>
    <t>Psicopedagogo 18 horas</t>
  </si>
  <si>
    <t>Ayudante de Orientación 16 horas</t>
  </si>
  <si>
    <t>Director de Estudios (12 horas mas de proyecto XIII)</t>
  </si>
  <si>
    <t>Garantía</t>
  </si>
  <si>
    <t xml:space="preserve">Total Neto con garantía </t>
  </si>
  <si>
    <t xml:space="preserve">Total Neto sin garantía </t>
  </si>
  <si>
    <t xml:space="preserve">Total Aportes </t>
  </si>
  <si>
    <t>Total Haberes  Remunerat.</t>
  </si>
  <si>
    <t xml:space="preserve">GARANTIA REMUNER. </t>
  </si>
  <si>
    <t xml:space="preserve"> Rem. Bonif.</t>
  </si>
  <si>
    <t>Rem. Bonif</t>
  </si>
  <si>
    <t xml:space="preserve">Valor Inc. Docente o Resolucion Nº 02/04 neto </t>
  </si>
  <si>
    <t>Total Neto a cobrar</t>
  </si>
  <si>
    <t>Inc.Doc o Resol.02/04</t>
  </si>
  <si>
    <t xml:space="preserve">Atención: los montos correspondientes a la Garantía, están calculados para doc. sin antig. en la carrera. </t>
  </si>
  <si>
    <t xml:space="preserve">Ejemplos de liquidación salarial para cargos sin antigüedad en la docencia. Al incluir antigüedades, disminuye o desaparece el monto de la Garantía . </t>
  </si>
  <si>
    <t>Maestro de Apoyo</t>
  </si>
  <si>
    <t>Maestro de Grupo Escolar Auxiliar</t>
  </si>
  <si>
    <t xml:space="preserve">Preceptor/Maestro Celador </t>
  </si>
  <si>
    <t>Maestro Terapista Ocupacional</t>
  </si>
  <si>
    <t>Maestro de Actividades Prácticas</t>
  </si>
  <si>
    <t>Grilla Salarial según ACTA ACUERDO GCBA  del 24/02/2010</t>
  </si>
  <si>
    <t>Acta Acuerdo    Rem. /Bonif.</t>
  </si>
  <si>
    <t>a la Resolución 2/04 se le debe realizar el aporte a la O.S no contemplado en el ejemplo</t>
  </si>
  <si>
    <t>Ayudante de Depto. de Orientación</t>
  </si>
  <si>
    <t>Psicopedagogo</t>
  </si>
  <si>
    <t>Otras sumas remunerativas</t>
  </si>
  <si>
    <t>Mat.Didact</t>
  </si>
  <si>
    <t>Garantia Bruta hs</t>
  </si>
  <si>
    <t>Maestro Bibliotecario Primaria Común</t>
  </si>
  <si>
    <t>Cuota extraordinaria Inc.Doc o Resol. 02/04 de 07 a 12</t>
  </si>
  <si>
    <r>
      <t xml:space="preserve">Índice de </t>
    </r>
    <r>
      <rPr>
        <sz val="9"/>
        <color indexed="9"/>
        <rFont val="Helvetica"/>
        <family val="0"/>
      </rPr>
      <t>Recatego- rización y porcentual</t>
    </r>
  </si>
  <si>
    <t>Valor del Índice de Recategorización y porcentual</t>
  </si>
  <si>
    <t xml:space="preserve"> - A la Resolución 2/04 se le debe realizar el aporte a la O.S no contemplado en el ejemplo</t>
  </si>
  <si>
    <t>Grilla Salarial según ACTA ACUERDO GCBA del 23/02/2012</t>
  </si>
  <si>
    <t>Acta Acuerdo 23/2/12 punto 9</t>
  </si>
  <si>
    <t xml:space="preserve"> (Dentro de esta grilla se remarcan en colorado diferencias importantes)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</si>
</sst>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&quot;\ * #,##0.000_ ;_ &quot;$&quot;\ * \-#,##0.000_ ;_ &quot;$&quot;\ * &quot;-&quot;??_ ;_ @_ "/>
    <numFmt numFmtId="181" formatCode="_ &quot;$&quot;\ * #,##0.0000_ ;_ &quot;$&quot;\ * \-#,##0.0000_ ;_ &quot;$&quot;\ * &quot;-&quot;??_ ;_ @_ "/>
    <numFmt numFmtId="182" formatCode="_ &quot;$&quot;\ * #,##0.00000_ ;_ &quot;$&quot;\ * \-#,##0.00000_ ;_ &quot;$&quot;\ * &quot;-&quot;??_ ;_ @_ "/>
    <numFmt numFmtId="183" formatCode="_ * #,##0.00000_ ;_ * \-#,##0.00000_ ;_ * &quot;-&quot;???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&quot;$&quot;\ #,##0.0;[Red]&quot;$&quot;\ \-#,##0.0"/>
    <numFmt numFmtId="188" formatCode="0.00000"/>
    <numFmt numFmtId="189" formatCode="0.0000"/>
    <numFmt numFmtId="190" formatCode="0.000"/>
    <numFmt numFmtId="191" formatCode="_ &quot;$&quot;\ * #,##0.000000_ ;_ &quot;$&quot;\ * \-#,##0.000000_ ;_ &quot;$&quot;\ * &quot;-&quot;??_ ;_ @_ "/>
    <numFmt numFmtId="192" formatCode="_ &quot;$&quot;\ * #,##0.00000_ ;_ &quot;$&quot;\ * \-#,##0.00000_ ;_ &quot;$&quot;\ * &quot;-&quot;?????_ ;_ @_ "/>
    <numFmt numFmtId="193" formatCode="_ &quot;$&quot;\ * #,##0.000000_ ;_ &quot;$&quot;\ * \-#,##0.000000_ ;_ &quot;$&quot;\ * &quot;-&quot;??????_ ;_ @_ "/>
  </numFmts>
  <fonts count="72">
    <font>
      <sz val="10"/>
      <name val="Arial"/>
      <family val="0"/>
    </font>
    <font>
      <sz val="10"/>
      <name val="Helvetica"/>
      <family val="2"/>
    </font>
    <font>
      <sz val="16"/>
      <color indexed="9"/>
      <name val="Helvetica"/>
      <family val="2"/>
    </font>
    <font>
      <sz val="10"/>
      <color indexed="9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Helvetica"/>
      <family val="2"/>
    </font>
    <font>
      <sz val="12"/>
      <name val="Helvetica"/>
      <family val="2"/>
    </font>
    <font>
      <sz val="8"/>
      <name val="Arial"/>
      <family val="2"/>
    </font>
    <font>
      <sz val="14"/>
      <name val="Helvetica"/>
      <family val="2"/>
    </font>
    <font>
      <b/>
      <sz val="10"/>
      <name val="Helvetica"/>
      <family val="2"/>
    </font>
    <font>
      <b/>
      <sz val="10"/>
      <color indexed="9"/>
      <name val="Helvetica"/>
      <family val="2"/>
    </font>
    <font>
      <b/>
      <sz val="10"/>
      <color indexed="17"/>
      <name val="Helvetica"/>
      <family val="2"/>
    </font>
    <font>
      <b/>
      <u val="single"/>
      <sz val="10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0"/>
      <color indexed="10"/>
      <name val="Helvetica"/>
      <family val="2"/>
    </font>
    <font>
      <sz val="22"/>
      <name val="Helvetica"/>
      <family val="2"/>
    </font>
    <font>
      <b/>
      <sz val="22"/>
      <name val="Helvetica"/>
      <family val="2"/>
    </font>
    <font>
      <sz val="9"/>
      <name val="Helvetica"/>
      <family val="2"/>
    </font>
    <font>
      <sz val="10"/>
      <name val="Tahoma"/>
      <family val="2"/>
    </font>
    <font>
      <sz val="9"/>
      <color indexed="9"/>
      <name val="Helvetica"/>
      <family val="0"/>
    </font>
    <font>
      <b/>
      <sz val="9"/>
      <color indexed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56"/>
      <name val="Helvetica"/>
      <family val="2"/>
    </font>
    <font>
      <sz val="10"/>
      <color indexed="56"/>
      <name val="Helvetica"/>
      <family val="2"/>
    </font>
    <font>
      <b/>
      <sz val="9"/>
      <color indexed="56"/>
      <name val="Helvetica"/>
      <family val="2"/>
    </font>
    <font>
      <b/>
      <sz val="10"/>
      <color indexed="56"/>
      <name val="Helvetica"/>
      <family val="2"/>
    </font>
    <font>
      <sz val="12"/>
      <color indexed="10"/>
      <name val="Helvetica"/>
      <family val="0"/>
    </font>
    <font>
      <sz val="10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3"/>
      <name val="Helvetica"/>
      <family val="2"/>
    </font>
    <font>
      <sz val="10"/>
      <color theme="3"/>
      <name val="Helvetica"/>
      <family val="2"/>
    </font>
    <font>
      <sz val="10"/>
      <color theme="0"/>
      <name val="Helvetica"/>
      <family val="2"/>
    </font>
    <font>
      <b/>
      <sz val="10"/>
      <color rgb="FFFF0000"/>
      <name val="Helvetica"/>
      <family val="0"/>
    </font>
    <font>
      <b/>
      <sz val="9"/>
      <color theme="3"/>
      <name val="Helvetica"/>
      <family val="2"/>
    </font>
    <font>
      <b/>
      <sz val="10"/>
      <color theme="3"/>
      <name val="Helvetica"/>
      <family val="2"/>
    </font>
    <font>
      <sz val="10"/>
      <color rgb="FFFF0000"/>
      <name val="Helvetica"/>
      <family val="2"/>
    </font>
    <font>
      <sz val="12"/>
      <color rgb="FFFF0000"/>
      <name val="Helvetica"/>
      <family val="0"/>
    </font>
    <font>
      <sz val="10"/>
      <color theme="1"/>
      <name val="Helvetic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44" fontId="1" fillId="0" borderId="0" xfId="50" applyFont="1" applyAlignment="1">
      <alignment/>
    </xf>
    <xf numFmtId="182" fontId="1" fillId="0" borderId="0" xfId="50" applyNumberFormat="1" applyFont="1" applyAlignment="1">
      <alignment/>
    </xf>
    <xf numFmtId="44" fontId="1" fillId="0" borderId="10" xfId="50" applyFont="1" applyBorder="1" applyAlignment="1">
      <alignment/>
    </xf>
    <xf numFmtId="44" fontId="1" fillId="0" borderId="11" xfId="50" applyFont="1" applyBorder="1" applyAlignment="1">
      <alignment/>
    </xf>
    <xf numFmtId="0" fontId="1" fillId="0" borderId="0" xfId="0" applyFont="1" applyAlignment="1">
      <alignment horizontal="center" vertical="center"/>
    </xf>
    <xf numFmtId="44" fontId="1" fillId="0" borderId="12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4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44" fontId="1" fillId="0" borderId="0" xfId="5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44" fontId="6" fillId="0" borderId="0" xfId="50" applyFont="1" applyAlignment="1">
      <alignment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4" fontId="3" fillId="0" borderId="0" xfId="50" applyFont="1" applyAlignment="1">
      <alignment/>
    </xf>
    <xf numFmtId="0" fontId="11" fillId="35" borderId="17" xfId="0" applyFont="1" applyFill="1" applyBorder="1" applyAlignment="1">
      <alignment horizontal="center" wrapText="1"/>
    </xf>
    <xf numFmtId="44" fontId="1" fillId="36" borderId="10" xfId="0" applyNumberFormat="1" applyFont="1" applyFill="1" applyBorder="1" applyAlignment="1">
      <alignment/>
    </xf>
    <xf numFmtId="44" fontId="1" fillId="36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7" borderId="0" xfId="0" applyFont="1" applyFill="1" applyAlignment="1">
      <alignment/>
    </xf>
    <xf numFmtId="44" fontId="1" fillId="0" borderId="10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9" fontId="1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 vertical="top" wrapText="1"/>
    </xf>
    <xf numFmtId="44" fontId="1" fillId="0" borderId="14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4" fontId="1" fillId="38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37" borderId="11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wrapText="1"/>
    </xf>
    <xf numFmtId="9" fontId="1" fillId="0" borderId="15" xfId="0" applyNumberFormat="1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0" fontId="16" fillId="39" borderId="0" xfId="0" applyFont="1" applyFill="1" applyAlignment="1">
      <alignment/>
    </xf>
    <xf numFmtId="0" fontId="6" fillId="39" borderId="0" xfId="0" applyFont="1" applyFill="1" applyAlignment="1">
      <alignment/>
    </xf>
    <xf numFmtId="182" fontId="16" fillId="39" borderId="0" xfId="50" applyNumberFormat="1" applyFont="1" applyFill="1" applyAlignment="1">
      <alignment/>
    </xf>
    <xf numFmtId="44" fontId="16" fillId="39" borderId="0" xfId="50" applyFont="1" applyFill="1" applyAlignment="1">
      <alignment/>
    </xf>
    <xf numFmtId="44" fontId="1" fillId="39" borderId="0" xfId="50" applyFont="1" applyFill="1" applyAlignment="1">
      <alignment/>
    </xf>
    <xf numFmtId="44" fontId="16" fillId="39" borderId="0" xfId="50" applyNumberFormat="1" applyFont="1" applyFill="1" applyAlignment="1">
      <alignment/>
    </xf>
    <xf numFmtId="44" fontId="1" fillId="40" borderId="10" xfId="50" applyFont="1" applyFill="1" applyBorder="1" applyAlignment="1">
      <alignment/>
    </xf>
    <xf numFmtId="44" fontId="1" fillId="0" borderId="10" xfId="50" applyFont="1" applyFill="1" applyBorder="1" applyAlignment="1">
      <alignment/>
    </xf>
    <xf numFmtId="44" fontId="1" fillId="40" borderId="12" xfId="0" applyNumberFormat="1" applyFont="1" applyFill="1" applyBorder="1" applyAlignment="1">
      <alignment/>
    </xf>
    <xf numFmtId="0" fontId="11" fillId="35" borderId="22" xfId="0" applyFont="1" applyFill="1" applyBorder="1" applyAlignment="1">
      <alignment horizontal="center" wrapText="1"/>
    </xf>
    <xf numFmtId="9" fontId="1" fillId="0" borderId="10" xfId="0" applyNumberFormat="1" applyFont="1" applyBorder="1" applyAlignment="1">
      <alignment horizontal="center" vertical="top" wrapText="1"/>
    </xf>
    <xf numFmtId="44" fontId="1" fillId="0" borderId="0" xfId="50" applyNumberFormat="1" applyFont="1" applyAlignment="1">
      <alignment/>
    </xf>
    <xf numFmtId="44" fontId="1" fillId="0" borderId="0" xfId="50" applyFont="1" applyFill="1" applyAlignment="1">
      <alignment/>
    </xf>
    <xf numFmtId="0" fontId="17" fillId="0" borderId="0" xfId="0" applyFont="1" applyAlignment="1">
      <alignment/>
    </xf>
    <xf numFmtId="44" fontId="17" fillId="0" borderId="0" xfId="50" applyFont="1" applyAlignment="1">
      <alignment/>
    </xf>
    <xf numFmtId="0" fontId="1" fillId="35" borderId="23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8" fontId="1" fillId="0" borderId="18" xfId="0" applyNumberFormat="1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4" fontId="1" fillId="0" borderId="16" xfId="50" applyFont="1" applyBorder="1" applyAlignment="1">
      <alignment/>
    </xf>
    <xf numFmtId="44" fontId="1" fillId="36" borderId="16" xfId="0" applyNumberFormat="1" applyFont="1" applyFill="1" applyBorder="1" applyAlignment="1">
      <alignment/>
    </xf>
    <xf numFmtId="44" fontId="1" fillId="0" borderId="16" xfId="0" applyNumberFormat="1" applyFont="1" applyBorder="1" applyAlignment="1">
      <alignment/>
    </xf>
    <xf numFmtId="44" fontId="1" fillId="38" borderId="18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44" fontId="1" fillId="38" borderId="26" xfId="0" applyNumberFormat="1" applyFont="1" applyFill="1" applyBorder="1" applyAlignment="1">
      <alignment/>
    </xf>
    <xf numFmtId="44" fontId="1" fillId="38" borderId="27" xfId="0" applyNumberFormat="1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44" fontId="1" fillId="0" borderId="29" xfId="0" applyNumberFormat="1" applyFont="1" applyBorder="1" applyAlignment="1">
      <alignment/>
    </xf>
    <xf numFmtId="44" fontId="1" fillId="0" borderId="30" xfId="0" applyNumberFormat="1" applyFont="1" applyBorder="1" applyAlignment="1">
      <alignment/>
    </xf>
    <xf numFmtId="8" fontId="1" fillId="0" borderId="31" xfId="0" applyNumberFormat="1" applyFont="1" applyBorder="1" applyAlignment="1">
      <alignment/>
    </xf>
    <xf numFmtId="8" fontId="1" fillId="0" borderId="32" xfId="0" applyNumberFormat="1" applyFont="1" applyBorder="1" applyAlignment="1">
      <alignment/>
    </xf>
    <xf numFmtId="0" fontId="11" fillId="35" borderId="33" xfId="0" applyFont="1" applyFill="1" applyBorder="1" applyAlignment="1">
      <alignment horizontal="center" wrapText="1"/>
    </xf>
    <xf numFmtId="9" fontId="1" fillId="0" borderId="34" xfId="0" applyNumberFormat="1" applyFont="1" applyBorder="1" applyAlignment="1">
      <alignment horizontal="center" vertical="top" wrapText="1"/>
    </xf>
    <xf numFmtId="44" fontId="1" fillId="38" borderId="35" xfId="0" applyNumberFormat="1" applyFont="1" applyFill="1" applyBorder="1" applyAlignment="1">
      <alignment/>
    </xf>
    <xf numFmtId="44" fontId="1" fillId="0" borderId="11" xfId="50" applyFont="1" applyFill="1" applyBorder="1" applyAlignment="1">
      <alignment/>
    </xf>
    <xf numFmtId="44" fontId="1" fillId="38" borderId="36" xfId="0" applyNumberFormat="1" applyFont="1" applyFill="1" applyBorder="1" applyAlignment="1">
      <alignment/>
    </xf>
    <xf numFmtId="44" fontId="1" fillId="38" borderId="31" xfId="0" applyNumberFormat="1" applyFont="1" applyFill="1" applyBorder="1" applyAlignment="1">
      <alignment/>
    </xf>
    <xf numFmtId="44" fontId="19" fillId="0" borderId="0" xfId="50" applyFont="1" applyAlignment="1">
      <alignment/>
    </xf>
    <xf numFmtId="44" fontId="1" fillId="41" borderId="10" xfId="50" applyFont="1" applyFill="1" applyBorder="1" applyAlignment="1">
      <alignment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/>
    </xf>
    <xf numFmtId="44" fontId="64" fillId="13" borderId="39" xfId="0" applyNumberFormat="1" applyFont="1" applyFill="1" applyBorder="1" applyAlignment="1">
      <alignment/>
    </xf>
    <xf numFmtId="8" fontId="64" fillId="13" borderId="39" xfId="0" applyNumberFormat="1" applyFont="1" applyFill="1" applyBorder="1" applyAlignment="1">
      <alignment/>
    </xf>
    <xf numFmtId="8" fontId="64" fillId="13" borderId="4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44" fontId="1" fillId="0" borderId="41" xfId="0" applyNumberFormat="1" applyFont="1" applyBorder="1" applyAlignment="1">
      <alignment/>
    </xf>
    <xf numFmtId="44" fontId="1" fillId="38" borderId="32" xfId="0" applyNumberFormat="1" applyFont="1" applyFill="1" applyBorder="1" applyAlignment="1">
      <alignment/>
    </xf>
    <xf numFmtId="44" fontId="64" fillId="13" borderId="31" xfId="0" applyNumberFormat="1" applyFont="1" applyFill="1" applyBorder="1" applyAlignment="1">
      <alignment/>
    </xf>
    <xf numFmtId="44" fontId="64" fillId="13" borderId="32" xfId="0" applyNumberFormat="1" applyFont="1" applyFill="1" applyBorder="1" applyAlignment="1">
      <alignment/>
    </xf>
    <xf numFmtId="8" fontId="64" fillId="13" borderId="31" xfId="0" applyNumberFormat="1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 wrapText="1"/>
    </xf>
    <xf numFmtId="0" fontId="64" fillId="13" borderId="42" xfId="0" applyFont="1" applyFill="1" applyBorder="1" applyAlignment="1">
      <alignment/>
    </xf>
    <xf numFmtId="8" fontId="1" fillId="0" borderId="39" xfId="0" applyNumberFormat="1" applyFont="1" applyBorder="1" applyAlignment="1">
      <alignment/>
    </xf>
    <xf numFmtId="8" fontId="1" fillId="0" borderId="40" xfId="0" applyNumberFormat="1" applyFont="1" applyBorder="1" applyAlignment="1">
      <alignment/>
    </xf>
    <xf numFmtId="0" fontId="65" fillId="33" borderId="31" xfId="0" applyFont="1" applyFill="1" applyBorder="1" applyAlignment="1">
      <alignment horizontal="center" vertical="center" wrapText="1"/>
    </xf>
    <xf numFmtId="8" fontId="1" fillId="0" borderId="0" xfId="50" applyNumberFormat="1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12" fillId="41" borderId="10" xfId="0" applyFont="1" applyFill="1" applyBorder="1" applyAlignment="1">
      <alignment/>
    </xf>
    <xf numFmtId="0" fontId="12" fillId="41" borderId="11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44" fontId="67" fillId="13" borderId="40" xfId="5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44" fontId="1" fillId="42" borderId="31" xfId="0" applyNumberFormat="1" applyFont="1" applyFill="1" applyBorder="1" applyAlignment="1">
      <alignment/>
    </xf>
    <xf numFmtId="44" fontId="1" fillId="42" borderId="12" xfId="0" applyNumberFormat="1" applyFont="1" applyFill="1" applyBorder="1" applyAlignment="1">
      <alignment/>
    </xf>
    <xf numFmtId="191" fontId="16" fillId="41" borderId="0" xfId="50" applyNumberFormat="1" applyFont="1" applyFill="1" applyBorder="1" applyAlignment="1">
      <alignment/>
    </xf>
    <xf numFmtId="44" fontId="16" fillId="41" borderId="0" xfId="50" applyFont="1" applyFill="1" applyAlignment="1">
      <alignment/>
    </xf>
    <xf numFmtId="44" fontId="1" fillId="41" borderId="0" xfId="50" applyFont="1" applyFill="1" applyAlignment="1">
      <alignment/>
    </xf>
    <xf numFmtId="44" fontId="16" fillId="41" borderId="0" xfId="50" applyNumberFormat="1" applyFont="1" applyFill="1" applyBorder="1" applyAlignment="1">
      <alignment/>
    </xf>
    <xf numFmtId="44" fontId="68" fillId="41" borderId="0" xfId="50" applyNumberFormat="1" applyFont="1" applyFill="1" applyBorder="1" applyAlignment="1">
      <alignment/>
    </xf>
    <xf numFmtId="8" fontId="16" fillId="41" borderId="0" xfId="50" applyNumberFormat="1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/>
    </xf>
    <xf numFmtId="0" fontId="6" fillId="39" borderId="43" xfId="0" applyFont="1" applyFill="1" applyBorder="1" applyAlignment="1">
      <alignment/>
    </xf>
    <xf numFmtId="191" fontId="22" fillId="39" borderId="44" xfId="50" applyNumberFormat="1" applyFont="1" applyFill="1" applyBorder="1" applyAlignment="1">
      <alignment/>
    </xf>
    <xf numFmtId="0" fontId="6" fillId="39" borderId="36" xfId="0" applyFont="1" applyFill="1" applyBorder="1" applyAlignment="1">
      <alignment/>
    </xf>
    <xf numFmtId="44" fontId="22" fillId="39" borderId="45" xfId="50" applyNumberFormat="1" applyFont="1" applyFill="1" applyBorder="1" applyAlignment="1">
      <alignment/>
    </xf>
    <xf numFmtId="44" fontId="69" fillId="13" borderId="46" xfId="50" applyFont="1" applyFill="1" applyBorder="1" applyAlignment="1">
      <alignment/>
    </xf>
    <xf numFmtId="44" fontId="69" fillId="13" borderId="47" xfId="50" applyFont="1" applyFill="1" applyBorder="1" applyAlignment="1">
      <alignment/>
    </xf>
    <xf numFmtId="8" fontId="69" fillId="13" borderId="48" xfId="0" applyNumberFormat="1" applyFont="1" applyFill="1" applyBorder="1" applyAlignment="1">
      <alignment/>
    </xf>
    <xf numFmtId="0" fontId="69" fillId="41" borderId="0" xfId="0" applyFont="1" applyFill="1" applyBorder="1" applyAlignment="1">
      <alignment horizontal="center" vertical="center" wrapText="1"/>
    </xf>
    <xf numFmtId="44" fontId="1" fillId="42" borderId="10" xfId="50" applyFont="1" applyFill="1" applyBorder="1" applyAlignment="1">
      <alignment/>
    </xf>
    <xf numFmtId="0" fontId="1" fillId="41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4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6" fillId="39" borderId="0" xfId="0" applyFont="1" applyFill="1" applyAlignment="1">
      <alignment horizontal="left" wrapText="1"/>
    </xf>
    <xf numFmtId="8" fontId="16" fillId="39" borderId="0" xfId="50" applyNumberFormat="1" applyFont="1" applyFill="1" applyAlignment="1">
      <alignment horizontal="left" vertical="center" wrapText="1"/>
    </xf>
    <xf numFmtId="0" fontId="2" fillId="35" borderId="49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4" fontId="3" fillId="33" borderId="18" xfId="50" applyFont="1" applyFill="1" applyBorder="1" applyAlignment="1">
      <alignment horizontal="center" vertical="center" wrapText="1"/>
    </xf>
    <xf numFmtId="44" fontId="3" fillId="33" borderId="10" xfId="5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35" borderId="49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8" fontId="1" fillId="0" borderId="0" xfId="50" applyNumberFormat="1" applyFont="1" applyFill="1" applyAlignment="1">
      <alignment horizontal="center" vertical="center" wrapText="1"/>
    </xf>
    <xf numFmtId="0" fontId="6" fillId="39" borderId="55" xfId="0" applyFont="1" applyFill="1" applyBorder="1" applyAlignment="1">
      <alignment horizontal="left" wrapText="1"/>
    </xf>
    <xf numFmtId="0" fontId="6" fillId="39" borderId="52" xfId="0" applyFont="1" applyFill="1" applyBorder="1" applyAlignment="1">
      <alignment horizontal="left" wrapText="1"/>
    </xf>
    <xf numFmtId="8" fontId="22" fillId="39" borderId="56" xfId="50" applyNumberFormat="1" applyFont="1" applyFill="1" applyBorder="1" applyAlignment="1">
      <alignment horizontal="left" vertical="center" wrapText="1"/>
    </xf>
    <xf numFmtId="8" fontId="22" fillId="39" borderId="39" xfId="50" applyNumberFormat="1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/>
    </xf>
    <xf numFmtId="0" fontId="3" fillId="33" borderId="5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44" fontId="3" fillId="33" borderId="58" xfId="5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4" fontId="3" fillId="33" borderId="21" xfId="5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 wrapText="1"/>
    </xf>
    <xf numFmtId="6" fontId="1" fillId="41" borderId="0" xfId="50" applyNumberFormat="1" applyFont="1" applyFill="1" applyBorder="1" applyAlignment="1">
      <alignment horizontal="center" vertical="center" wrapText="1"/>
    </xf>
    <xf numFmtId="44" fontId="1" fillId="41" borderId="0" xfId="50" applyFont="1" applyFill="1" applyBorder="1" applyAlignment="1">
      <alignment horizontal="center" vertical="center" wrapText="1"/>
    </xf>
    <xf numFmtId="0" fontId="69" fillId="41" borderId="0" xfId="0" applyFont="1" applyFill="1" applyBorder="1" applyAlignment="1">
      <alignment horizontal="center" vertical="center" wrapText="1"/>
    </xf>
    <xf numFmtId="6" fontId="69" fillId="41" borderId="0" xfId="50" applyNumberFormat="1" applyFont="1" applyFill="1" applyBorder="1" applyAlignment="1">
      <alignment horizontal="center" vertical="center" wrapText="1"/>
    </xf>
    <xf numFmtId="44" fontId="69" fillId="41" borderId="0" xfId="5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4" fontId="71" fillId="41" borderId="12" xfId="0" applyNumberFormat="1" applyFont="1" applyFill="1" applyBorder="1" applyAlignment="1">
      <alignment/>
    </xf>
    <xf numFmtId="44" fontId="1" fillId="43" borderId="31" xfId="0" applyNumberFormat="1" applyFont="1" applyFill="1" applyBorder="1" applyAlignment="1">
      <alignment/>
    </xf>
    <xf numFmtId="44" fontId="1" fillId="41" borderId="12" xfId="0" applyNumberFormat="1" applyFont="1" applyFill="1" applyBorder="1" applyAlignment="1">
      <alignment/>
    </xf>
    <xf numFmtId="0" fontId="1" fillId="4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2152650</xdr:colOff>
      <xdr:row>4</xdr:row>
      <xdr:rowOff>38100</xdr:rowOff>
    </xdr:to>
    <xdr:pic>
      <xdr:nvPicPr>
        <xdr:cNvPr id="1" name="Picture 1" descr="Redorga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667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9</xdr:row>
      <xdr:rowOff>142875</xdr:rowOff>
    </xdr:from>
    <xdr:to>
      <xdr:col>7</xdr:col>
      <xdr:colOff>276225</xdr:colOff>
      <xdr:row>11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7848600" y="2171700"/>
          <a:ext cx="419100" cy="276225"/>
        </a:xfrm>
        <a:prstGeom prst="downArrow">
          <a:avLst>
            <a:gd name="adj1" fmla="val 5884"/>
            <a:gd name="adj2" fmla="val -22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2152650</xdr:colOff>
      <xdr:row>4</xdr:row>
      <xdr:rowOff>38100</xdr:rowOff>
    </xdr:to>
    <xdr:pic>
      <xdr:nvPicPr>
        <xdr:cNvPr id="1" name="Picture 1" descr="Redorga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667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14</xdr:row>
      <xdr:rowOff>95250</xdr:rowOff>
    </xdr:from>
    <xdr:to>
      <xdr:col>13</xdr:col>
      <xdr:colOff>514350</xdr:colOff>
      <xdr:row>15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2820650" y="2981325"/>
          <a:ext cx="409575" cy="247650"/>
        </a:xfrm>
        <a:prstGeom prst="downArrow">
          <a:avLst>
            <a:gd name="adj1" fmla="val 5884"/>
            <a:gd name="adj2" fmla="val -22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175"/>
  <sheetViews>
    <sheetView zoomScale="75" zoomScaleNormal="75" zoomScalePageLayoutView="0" workbookViewId="0" topLeftCell="A1">
      <selection activeCell="L16" sqref="L16"/>
    </sheetView>
  </sheetViews>
  <sheetFormatPr defaultColWidth="11.421875" defaultRowHeight="12.75"/>
  <cols>
    <col min="1" max="1" width="7.8515625" style="1" customWidth="1"/>
    <col min="2" max="2" width="48.7109375" style="1" bestFit="1" customWidth="1"/>
    <col min="3" max="3" width="11.7109375" style="1" bestFit="1" customWidth="1"/>
    <col min="4" max="4" width="15.7109375" style="1" bestFit="1" customWidth="1"/>
    <col min="5" max="5" width="11.7109375" style="9" bestFit="1" customWidth="1"/>
    <col min="6" max="6" width="12.421875" style="9" customWidth="1"/>
    <col min="7" max="8" width="11.7109375" style="1" bestFit="1" customWidth="1"/>
    <col min="9" max="9" width="11.8515625" style="9" customWidth="1"/>
    <col min="10" max="10" width="11.7109375" style="1" bestFit="1" customWidth="1"/>
    <col min="11" max="11" width="11.7109375" style="1" customWidth="1"/>
    <col min="12" max="12" width="11.28125" style="1" customWidth="1"/>
    <col min="13" max="20" width="11.57421875" style="1" customWidth="1"/>
    <col min="21" max="16384" width="11.421875" style="1" customWidth="1"/>
  </cols>
  <sheetData>
    <row r="1" ht="12.75"/>
    <row r="2" ht="12.75"/>
    <row r="3" ht="12.75"/>
    <row r="4" ht="12.75"/>
    <row r="5" spans="1:20" ht="27.75">
      <c r="A5" s="81"/>
      <c r="B5" s="81"/>
      <c r="C5" s="81"/>
      <c r="D5" s="81"/>
      <c r="E5" s="82"/>
      <c r="F5" s="82"/>
      <c r="G5" s="81"/>
      <c r="H5" s="81"/>
      <c r="I5" s="82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27.75">
      <c r="A6" s="162" t="s">
        <v>131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</row>
    <row r="7" spans="1:20" ht="20.25" customHeight="1">
      <c r="A7" s="163" t="s">
        <v>125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20" ht="20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</row>
    <row r="9" spans="2:6" ht="12.75">
      <c r="B9" s="68" t="s">
        <v>3</v>
      </c>
      <c r="C9" s="69" t="s">
        <v>60</v>
      </c>
      <c r="D9" s="70">
        <v>1.02181</v>
      </c>
      <c r="E9" s="71"/>
      <c r="F9" s="72"/>
    </row>
    <row r="10" spans="3:19" ht="13.5" thickBot="1">
      <c r="C10" s="69" t="s">
        <v>119</v>
      </c>
      <c r="D10" s="73">
        <v>475</v>
      </c>
      <c r="E10" s="27"/>
      <c r="P10" s="31"/>
      <c r="Q10" s="31"/>
      <c r="R10" s="31"/>
      <c r="S10" s="31"/>
    </row>
    <row r="11" spans="1:19" ht="12.75" customHeight="1">
      <c r="A11" s="46"/>
      <c r="B11" s="1" t="s">
        <v>108</v>
      </c>
      <c r="C11" s="69" t="s">
        <v>113</v>
      </c>
      <c r="D11" s="73">
        <v>1735</v>
      </c>
      <c r="J11" s="165" t="s">
        <v>124</v>
      </c>
      <c r="K11" s="166"/>
      <c r="L11" s="166"/>
      <c r="M11" s="167"/>
      <c r="P11" s="169"/>
      <c r="Q11" s="169"/>
      <c r="R11" s="169"/>
      <c r="S11" s="169"/>
    </row>
    <row r="12" spans="1:19" ht="12.75" customHeight="1">
      <c r="A12" s="21"/>
      <c r="B12" s="1" t="s">
        <v>67</v>
      </c>
      <c r="C12" s="174" t="s">
        <v>123</v>
      </c>
      <c r="D12" s="175">
        <v>165</v>
      </c>
      <c r="J12" s="168"/>
      <c r="K12" s="169"/>
      <c r="L12" s="169"/>
      <c r="M12" s="170"/>
      <c r="P12" s="169"/>
      <c r="Q12" s="169"/>
      <c r="R12" s="169"/>
      <c r="S12" s="169"/>
    </row>
    <row r="13" spans="3:19" ht="12.75" customHeight="1">
      <c r="C13" s="174"/>
      <c r="D13" s="175"/>
      <c r="E13" s="9" t="s">
        <v>133</v>
      </c>
      <c r="J13" s="168"/>
      <c r="K13" s="169"/>
      <c r="L13" s="169"/>
      <c r="M13" s="170"/>
      <c r="P13" s="169"/>
      <c r="Q13" s="169"/>
      <c r="R13" s="169"/>
      <c r="S13" s="169"/>
    </row>
    <row r="14" spans="1:19" s="28" customFormat="1" ht="15.75" thickBot="1">
      <c r="A14" s="60"/>
      <c r="B14" s="58" t="s">
        <v>107</v>
      </c>
      <c r="C14" s="58"/>
      <c r="D14" s="58"/>
      <c r="E14" s="58"/>
      <c r="F14" s="58"/>
      <c r="G14" s="58"/>
      <c r="H14" s="58"/>
      <c r="I14" s="57"/>
      <c r="J14" s="171"/>
      <c r="K14" s="172"/>
      <c r="L14" s="172"/>
      <c r="M14" s="173"/>
      <c r="N14" s="57"/>
      <c r="O14" s="57"/>
      <c r="P14" s="169"/>
      <c r="Q14" s="169"/>
      <c r="R14" s="169"/>
      <c r="S14" s="169"/>
    </row>
    <row r="15" spans="1:19" ht="18">
      <c r="A15" s="59"/>
      <c r="B15" s="59"/>
      <c r="C15" s="59"/>
      <c r="D15" s="59"/>
      <c r="E15" s="59"/>
      <c r="F15" s="59"/>
      <c r="G15" s="59"/>
      <c r="H15" s="59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ht="13.5" thickBot="1"/>
    <row r="17" spans="1:22" ht="20.25">
      <c r="A17" s="176" t="s">
        <v>4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83"/>
      <c r="V17" s="84"/>
    </row>
    <row r="18" spans="1:22" s="13" customFormat="1" ht="12.75" customHeight="1">
      <c r="A18" s="178" t="s">
        <v>1</v>
      </c>
      <c r="B18" s="180" t="s">
        <v>0</v>
      </c>
      <c r="C18" s="180" t="s">
        <v>2</v>
      </c>
      <c r="D18" s="180"/>
      <c r="E18" s="182" t="s">
        <v>64</v>
      </c>
      <c r="F18" s="182" t="s">
        <v>65</v>
      </c>
      <c r="G18" s="184" t="s">
        <v>68</v>
      </c>
      <c r="H18" s="184" t="s">
        <v>66</v>
      </c>
      <c r="I18" s="182" t="s">
        <v>132</v>
      </c>
      <c r="J18" s="184" t="s">
        <v>77</v>
      </c>
      <c r="K18" s="186" t="s">
        <v>118</v>
      </c>
      <c r="L18" s="186" t="s">
        <v>117</v>
      </c>
      <c r="M18" s="188" t="s">
        <v>99</v>
      </c>
      <c r="N18" s="189"/>
      <c r="O18" s="189"/>
      <c r="P18" s="189"/>
      <c r="Q18" s="189"/>
      <c r="R18" s="190" t="s">
        <v>116</v>
      </c>
      <c r="S18" s="190" t="s">
        <v>115</v>
      </c>
      <c r="T18" s="192" t="s">
        <v>114</v>
      </c>
      <c r="U18" s="192" t="s">
        <v>121</v>
      </c>
      <c r="V18" s="192" t="s">
        <v>122</v>
      </c>
    </row>
    <row r="19" spans="1:22" s="13" customFormat="1" ht="78" customHeight="1">
      <c r="A19" s="179"/>
      <c r="B19" s="181"/>
      <c r="C19" s="8" t="s">
        <v>3</v>
      </c>
      <c r="D19" s="8" t="s">
        <v>6</v>
      </c>
      <c r="E19" s="183"/>
      <c r="F19" s="183"/>
      <c r="G19" s="185"/>
      <c r="H19" s="185"/>
      <c r="I19" s="183"/>
      <c r="J19" s="185"/>
      <c r="K19" s="187"/>
      <c r="L19" s="187"/>
      <c r="M19" s="63" t="s">
        <v>101</v>
      </c>
      <c r="N19" s="62" t="s">
        <v>102</v>
      </c>
      <c r="O19" s="62" t="s">
        <v>103</v>
      </c>
      <c r="P19" s="64" t="s">
        <v>104</v>
      </c>
      <c r="Q19" s="64" t="s">
        <v>105</v>
      </c>
      <c r="R19" s="191"/>
      <c r="S19" s="191"/>
      <c r="T19" s="188"/>
      <c r="U19" s="188"/>
      <c r="V19" s="188"/>
    </row>
    <row r="20" spans="1:22" ht="12.75">
      <c r="A20" s="16">
        <v>528</v>
      </c>
      <c r="B20" s="3" t="s">
        <v>5</v>
      </c>
      <c r="C20" s="39">
        <v>1145</v>
      </c>
      <c r="D20" s="39">
        <v>285</v>
      </c>
      <c r="E20" s="11">
        <f aca="true" t="shared" si="0" ref="E20:F26">C20*$D$168</f>
        <v>1169.9724500000002</v>
      </c>
      <c r="F20" s="11">
        <f t="shared" si="0"/>
        <v>291.21585000000005</v>
      </c>
      <c r="G20" s="37">
        <f aca="true" t="shared" si="1" ref="G20:G26">F20+E20</f>
        <v>1461.1883000000003</v>
      </c>
      <c r="H20" s="47">
        <f aca="true" t="shared" si="2" ref="H20:H26">G20*0.1</f>
        <v>146.11883000000003</v>
      </c>
      <c r="I20" s="11">
        <f aca="true" t="shared" si="3" ref="I20:I25">$D$10</f>
        <v>475</v>
      </c>
      <c r="J20" s="47">
        <v>0</v>
      </c>
      <c r="K20" s="14">
        <f aca="true" t="shared" si="4" ref="K20:K25">IF((G20+H20+I20+J20)-((G20+H20+I20+J20)*0.235)&lt;$D$11,($D$11-((G20+H20+I20+J20)-((G20+H20+I20+J20)*0.235)))/0.765,0)</f>
        <v>185.66672620914997</v>
      </c>
      <c r="L20" s="14">
        <f aca="true" t="shared" si="5" ref="L20:L26">SUM(G20:K20)</f>
        <v>2267.97385620915</v>
      </c>
      <c r="M20" s="52">
        <f aca="true" t="shared" si="6" ref="M20:M26">$L20*11%</f>
        <v>249.4771241830065</v>
      </c>
      <c r="N20" s="47">
        <f aca="true" t="shared" si="7" ref="N20:O26">$L20*3%</f>
        <v>68.0392156862745</v>
      </c>
      <c r="O20" s="47">
        <f t="shared" si="7"/>
        <v>68.0392156862745</v>
      </c>
      <c r="P20" s="47">
        <f aca="true" t="shared" si="8" ref="P20:P26">$L20*2%</f>
        <v>45.359477124183</v>
      </c>
      <c r="Q20" s="14">
        <f aca="true" t="shared" si="9" ref="Q20:Q26">$L20*4.5%</f>
        <v>102.05882352941175</v>
      </c>
      <c r="R20" s="52">
        <f aca="true" t="shared" si="10" ref="R20:R26">SUM(N20:Q20)+M20</f>
        <v>532.9738562091503</v>
      </c>
      <c r="S20" s="52">
        <f aca="true" t="shared" si="11" ref="S20:S26">(G20+H20+I20)-((G20+H20+I20)*0.235)</f>
        <v>1592.9649544500003</v>
      </c>
      <c r="T20" s="55">
        <f aca="true" t="shared" si="12" ref="T20:T26">L20-R20</f>
        <v>1735</v>
      </c>
      <c r="U20" s="89">
        <f aca="true" t="shared" si="13" ref="U20:U25">$D$12</f>
        <v>165</v>
      </c>
      <c r="V20" s="95">
        <f>T20+U20</f>
        <v>1900</v>
      </c>
    </row>
    <row r="21" spans="1:22" ht="12.75">
      <c r="A21" s="16">
        <v>579</v>
      </c>
      <c r="B21" s="3" t="s">
        <v>7</v>
      </c>
      <c r="C21" s="39">
        <v>996</v>
      </c>
      <c r="D21" s="39">
        <v>259</v>
      </c>
      <c r="E21" s="11">
        <f t="shared" si="0"/>
        <v>1017.7227600000001</v>
      </c>
      <c r="F21" s="11">
        <f t="shared" si="0"/>
        <v>264.64879</v>
      </c>
      <c r="G21" s="37">
        <f t="shared" si="1"/>
        <v>1282.37155</v>
      </c>
      <c r="H21" s="47">
        <f t="shared" si="2"/>
        <v>128.237155</v>
      </c>
      <c r="I21" s="11">
        <f t="shared" si="3"/>
        <v>475</v>
      </c>
      <c r="J21" s="47">
        <v>0</v>
      </c>
      <c r="K21" s="14">
        <f t="shared" si="4"/>
        <v>382.36515120915027</v>
      </c>
      <c r="L21" s="14">
        <f t="shared" si="5"/>
        <v>2267.97385620915</v>
      </c>
      <c r="M21" s="52">
        <f t="shared" si="6"/>
        <v>249.4771241830065</v>
      </c>
      <c r="N21" s="47">
        <f t="shared" si="7"/>
        <v>68.0392156862745</v>
      </c>
      <c r="O21" s="47">
        <f t="shared" si="7"/>
        <v>68.0392156862745</v>
      </c>
      <c r="P21" s="47">
        <f t="shared" si="8"/>
        <v>45.359477124183</v>
      </c>
      <c r="Q21" s="14">
        <f t="shared" si="9"/>
        <v>102.05882352941175</v>
      </c>
      <c r="R21" s="52">
        <f t="shared" si="10"/>
        <v>532.9738562091503</v>
      </c>
      <c r="S21" s="52">
        <f t="shared" si="11"/>
        <v>1442.490659325</v>
      </c>
      <c r="T21" s="55">
        <f t="shared" si="12"/>
        <v>1735</v>
      </c>
      <c r="U21" s="89">
        <f t="shared" si="13"/>
        <v>165</v>
      </c>
      <c r="V21" s="95">
        <f aca="true" t="shared" si="14" ref="V21:V26">T21+U21</f>
        <v>1900</v>
      </c>
    </row>
    <row r="22" spans="1:22" ht="12.75">
      <c r="A22" s="16">
        <v>544</v>
      </c>
      <c r="B22" s="3" t="s">
        <v>8</v>
      </c>
      <c r="C22" s="39">
        <v>866</v>
      </c>
      <c r="D22" s="39">
        <v>214</v>
      </c>
      <c r="E22" s="11">
        <f t="shared" si="0"/>
        <v>884.8874600000001</v>
      </c>
      <c r="F22" s="11">
        <f t="shared" si="0"/>
        <v>218.66734000000002</v>
      </c>
      <c r="G22" s="37">
        <f t="shared" si="1"/>
        <v>1103.5548000000001</v>
      </c>
      <c r="H22" s="47">
        <f t="shared" si="2"/>
        <v>110.35548000000001</v>
      </c>
      <c r="I22" s="11">
        <f t="shared" si="3"/>
        <v>475</v>
      </c>
      <c r="J22" s="47">
        <v>0</v>
      </c>
      <c r="K22" s="14">
        <f t="shared" si="4"/>
        <v>579.0635762091504</v>
      </c>
      <c r="L22" s="14">
        <f t="shared" si="5"/>
        <v>2267.9738562091507</v>
      </c>
      <c r="M22" s="52">
        <f t="shared" si="6"/>
        <v>249.47712418300657</v>
      </c>
      <c r="N22" s="47">
        <f t="shared" si="7"/>
        <v>68.03921568627452</v>
      </c>
      <c r="O22" s="47">
        <f t="shared" si="7"/>
        <v>68.03921568627452</v>
      </c>
      <c r="P22" s="47">
        <f t="shared" si="8"/>
        <v>45.359477124183016</v>
      </c>
      <c r="Q22" s="14">
        <f t="shared" si="9"/>
        <v>102.05882352941178</v>
      </c>
      <c r="R22" s="52">
        <f t="shared" si="10"/>
        <v>532.9738562091504</v>
      </c>
      <c r="S22" s="52">
        <f t="shared" si="11"/>
        <v>1292.0163642</v>
      </c>
      <c r="T22" s="55">
        <f t="shared" si="12"/>
        <v>1735.0000000000002</v>
      </c>
      <c r="U22" s="89">
        <f t="shared" si="13"/>
        <v>165</v>
      </c>
      <c r="V22" s="95">
        <f t="shared" si="14"/>
        <v>1900.0000000000002</v>
      </c>
    </row>
    <row r="23" spans="1:22" ht="12.75">
      <c r="A23" s="16">
        <v>543</v>
      </c>
      <c r="B23" s="3" t="s">
        <v>90</v>
      </c>
      <c r="C23" s="39">
        <v>753</v>
      </c>
      <c r="D23" s="39">
        <v>187</v>
      </c>
      <c r="E23" s="11">
        <f t="shared" si="0"/>
        <v>769.4229300000001</v>
      </c>
      <c r="F23" s="11">
        <f t="shared" si="0"/>
        <v>191.07847</v>
      </c>
      <c r="G23" s="37">
        <f t="shared" si="1"/>
        <v>960.5014000000001</v>
      </c>
      <c r="H23" s="47">
        <f t="shared" si="2"/>
        <v>96.05014000000001</v>
      </c>
      <c r="I23" s="11">
        <f t="shared" si="3"/>
        <v>475</v>
      </c>
      <c r="J23" s="47">
        <v>0</v>
      </c>
      <c r="K23" s="14">
        <f t="shared" si="4"/>
        <v>736.42231620915</v>
      </c>
      <c r="L23" s="14">
        <f t="shared" si="5"/>
        <v>2267.97385620915</v>
      </c>
      <c r="M23" s="52">
        <f t="shared" si="6"/>
        <v>249.4771241830065</v>
      </c>
      <c r="N23" s="47">
        <f t="shared" si="7"/>
        <v>68.0392156862745</v>
      </c>
      <c r="O23" s="47">
        <f t="shared" si="7"/>
        <v>68.0392156862745</v>
      </c>
      <c r="P23" s="47">
        <f t="shared" si="8"/>
        <v>45.359477124183</v>
      </c>
      <c r="Q23" s="14">
        <f t="shared" si="9"/>
        <v>102.05882352941175</v>
      </c>
      <c r="R23" s="52">
        <f t="shared" si="10"/>
        <v>532.9738562091503</v>
      </c>
      <c r="S23" s="52">
        <f t="shared" si="11"/>
        <v>1171.6369281000002</v>
      </c>
      <c r="T23" s="55">
        <f t="shared" si="12"/>
        <v>1735</v>
      </c>
      <c r="U23" s="89">
        <f t="shared" si="13"/>
        <v>165</v>
      </c>
      <c r="V23" s="95">
        <f t="shared" si="14"/>
        <v>1900</v>
      </c>
    </row>
    <row r="24" spans="1:22" ht="12.75">
      <c r="A24" s="16">
        <v>889</v>
      </c>
      <c r="B24" s="3" t="s">
        <v>76</v>
      </c>
      <c r="C24" s="39">
        <v>704</v>
      </c>
      <c r="D24" s="39">
        <v>166</v>
      </c>
      <c r="E24" s="11">
        <f t="shared" si="0"/>
        <v>719.3542400000001</v>
      </c>
      <c r="F24" s="11">
        <f t="shared" si="0"/>
        <v>169.62046</v>
      </c>
      <c r="G24" s="37">
        <f t="shared" si="1"/>
        <v>888.9747000000001</v>
      </c>
      <c r="H24" s="47">
        <f t="shared" si="2"/>
        <v>88.89747000000001</v>
      </c>
      <c r="I24" s="11">
        <f t="shared" si="3"/>
        <v>475</v>
      </c>
      <c r="J24" s="47">
        <v>0</v>
      </c>
      <c r="K24" s="14">
        <f t="shared" si="4"/>
        <v>815.1016862091501</v>
      </c>
      <c r="L24" s="14">
        <f t="shared" si="5"/>
        <v>2267.97385620915</v>
      </c>
      <c r="M24" s="52">
        <f t="shared" si="6"/>
        <v>249.4771241830065</v>
      </c>
      <c r="N24" s="47">
        <f t="shared" si="7"/>
        <v>68.0392156862745</v>
      </c>
      <c r="O24" s="47">
        <f t="shared" si="7"/>
        <v>68.0392156862745</v>
      </c>
      <c r="P24" s="47">
        <f t="shared" si="8"/>
        <v>45.359477124183</v>
      </c>
      <c r="Q24" s="14">
        <f t="shared" si="9"/>
        <v>102.05882352941175</v>
      </c>
      <c r="R24" s="52">
        <f t="shared" si="10"/>
        <v>532.9738562091503</v>
      </c>
      <c r="S24" s="52">
        <f t="shared" si="11"/>
        <v>1111.4472100500002</v>
      </c>
      <c r="T24" s="55">
        <f t="shared" si="12"/>
        <v>1735</v>
      </c>
      <c r="U24" s="89">
        <f t="shared" si="13"/>
        <v>165</v>
      </c>
      <c r="V24" s="95">
        <f t="shared" si="14"/>
        <v>1900</v>
      </c>
    </row>
    <row r="25" spans="1:22" ht="12.75">
      <c r="A25" s="90">
        <v>906</v>
      </c>
      <c r="B25" s="29" t="s">
        <v>126</v>
      </c>
      <c r="C25" s="91">
        <v>753</v>
      </c>
      <c r="D25" s="91">
        <v>187</v>
      </c>
      <c r="E25" s="92">
        <f t="shared" si="0"/>
        <v>769.4229300000001</v>
      </c>
      <c r="F25" s="92">
        <f t="shared" si="0"/>
        <v>191.07847</v>
      </c>
      <c r="G25" s="93">
        <f t="shared" si="1"/>
        <v>960.5014000000001</v>
      </c>
      <c r="H25" s="94">
        <f t="shared" si="2"/>
        <v>96.05014000000001</v>
      </c>
      <c r="I25" s="11">
        <f t="shared" si="3"/>
        <v>475</v>
      </c>
      <c r="J25" s="47">
        <v>0</v>
      </c>
      <c r="K25" s="14">
        <f t="shared" si="4"/>
        <v>736.42231620915</v>
      </c>
      <c r="L25" s="14">
        <f t="shared" si="5"/>
        <v>2267.97385620915</v>
      </c>
      <c r="M25" s="52">
        <f t="shared" si="6"/>
        <v>249.4771241830065</v>
      </c>
      <c r="N25" s="47">
        <f t="shared" si="7"/>
        <v>68.0392156862745</v>
      </c>
      <c r="O25" s="47">
        <f t="shared" si="7"/>
        <v>68.0392156862745</v>
      </c>
      <c r="P25" s="47">
        <f t="shared" si="8"/>
        <v>45.359477124183</v>
      </c>
      <c r="Q25" s="14">
        <f t="shared" si="9"/>
        <v>102.05882352941175</v>
      </c>
      <c r="R25" s="52">
        <f>SUM(N25:Q25)+M25</f>
        <v>532.9738562091503</v>
      </c>
      <c r="S25" s="52">
        <f>(G25+H25+I25)-((G25+H25+I25)*0.235)</f>
        <v>1171.6369281000002</v>
      </c>
      <c r="T25" s="55">
        <f>L25-R25</f>
        <v>1735</v>
      </c>
      <c r="U25" s="89">
        <f t="shared" si="13"/>
        <v>165</v>
      </c>
      <c r="V25" s="95">
        <f>T25+U25</f>
        <v>1900</v>
      </c>
    </row>
    <row r="26" spans="1:22" ht="13.5" thickBot="1">
      <c r="A26" s="17">
        <v>566</v>
      </c>
      <c r="B26" s="6" t="s">
        <v>13</v>
      </c>
      <c r="C26" s="40">
        <v>47</v>
      </c>
      <c r="D26" s="40">
        <v>8</v>
      </c>
      <c r="E26" s="12">
        <f t="shared" si="0"/>
        <v>48.02507000000001</v>
      </c>
      <c r="F26" s="12">
        <f t="shared" si="0"/>
        <v>8.17448</v>
      </c>
      <c r="G26" s="38">
        <f t="shared" si="1"/>
        <v>56.19955000000001</v>
      </c>
      <c r="H26" s="48">
        <f t="shared" si="2"/>
        <v>5.619955000000001</v>
      </c>
      <c r="I26" s="11">
        <f>$D$10/17</f>
        <v>27.941176470588236</v>
      </c>
      <c r="J26" s="48">
        <v>0</v>
      </c>
      <c r="K26" s="14">
        <f>IF((G26+H26+I26+J26)-((G26+H26+I26+J26)*0.235)&lt;$D$11/15,($D$11/15-((G26+H26+I26+J26)-((G26+H26+I26+J26)*0.235)))/0.765,0)</f>
        <v>61.43757561002179</v>
      </c>
      <c r="L26" s="14">
        <f t="shared" si="5"/>
        <v>151.19825708061003</v>
      </c>
      <c r="M26" s="53">
        <f t="shared" si="6"/>
        <v>16.631808278867105</v>
      </c>
      <c r="N26" s="48">
        <f t="shared" si="7"/>
        <v>4.5359477124183005</v>
      </c>
      <c r="O26" s="48">
        <f t="shared" si="7"/>
        <v>4.5359477124183005</v>
      </c>
      <c r="P26" s="48">
        <f t="shared" si="8"/>
        <v>3.0239651416122006</v>
      </c>
      <c r="Q26" s="15">
        <f t="shared" si="9"/>
        <v>6.803921568627452</v>
      </c>
      <c r="R26" s="53">
        <f t="shared" si="10"/>
        <v>35.53159041394336</v>
      </c>
      <c r="S26" s="52">
        <f t="shared" si="11"/>
        <v>68.666921325</v>
      </c>
      <c r="T26" s="55">
        <f t="shared" si="12"/>
        <v>115.66666666666667</v>
      </c>
      <c r="U26" s="89">
        <f>$D$12/15</f>
        <v>11</v>
      </c>
      <c r="V26" s="95">
        <f t="shared" si="14"/>
        <v>126.66666666666667</v>
      </c>
    </row>
    <row r="27" ht="13.5" thickBot="1"/>
    <row r="28" spans="1:22" ht="20.25">
      <c r="A28" s="176" t="s">
        <v>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83"/>
      <c r="V28" s="84"/>
    </row>
    <row r="29" spans="1:22" s="13" customFormat="1" ht="12.75" customHeight="1">
      <c r="A29" s="178" t="s">
        <v>1</v>
      </c>
      <c r="B29" s="180" t="s">
        <v>0</v>
      </c>
      <c r="C29" s="180" t="s">
        <v>2</v>
      </c>
      <c r="D29" s="180"/>
      <c r="E29" s="182" t="s">
        <v>61</v>
      </c>
      <c r="F29" s="182" t="s">
        <v>62</v>
      </c>
      <c r="G29" s="184" t="s">
        <v>68</v>
      </c>
      <c r="H29" s="184" t="s">
        <v>66</v>
      </c>
      <c r="I29" s="182" t="s">
        <v>132</v>
      </c>
      <c r="J29" s="184" t="s">
        <v>77</v>
      </c>
      <c r="K29" s="186" t="s">
        <v>118</v>
      </c>
      <c r="L29" s="186" t="s">
        <v>117</v>
      </c>
      <c r="M29" s="188" t="s">
        <v>99</v>
      </c>
      <c r="N29" s="189"/>
      <c r="O29" s="189"/>
      <c r="P29" s="189"/>
      <c r="Q29" s="189"/>
      <c r="R29" s="190" t="s">
        <v>116</v>
      </c>
      <c r="S29" s="190" t="s">
        <v>115</v>
      </c>
      <c r="T29" s="192" t="s">
        <v>114</v>
      </c>
      <c r="U29" s="192" t="s">
        <v>121</v>
      </c>
      <c r="V29" s="192" t="s">
        <v>122</v>
      </c>
    </row>
    <row r="30" spans="1:22" s="13" customFormat="1" ht="78" customHeight="1">
      <c r="A30" s="179"/>
      <c r="B30" s="181"/>
      <c r="C30" s="8" t="s">
        <v>3</v>
      </c>
      <c r="D30" s="8" t="s">
        <v>6</v>
      </c>
      <c r="E30" s="183"/>
      <c r="F30" s="183"/>
      <c r="G30" s="185"/>
      <c r="H30" s="185"/>
      <c r="I30" s="183"/>
      <c r="J30" s="185"/>
      <c r="K30" s="187"/>
      <c r="L30" s="187"/>
      <c r="M30" s="63" t="s">
        <v>101</v>
      </c>
      <c r="N30" s="62" t="s">
        <v>102</v>
      </c>
      <c r="O30" s="62" t="s">
        <v>103</v>
      </c>
      <c r="P30" s="64" t="s">
        <v>104</v>
      </c>
      <c r="Q30" s="64" t="s">
        <v>105</v>
      </c>
      <c r="R30" s="191"/>
      <c r="S30" s="191"/>
      <c r="T30" s="188"/>
      <c r="U30" s="188"/>
      <c r="V30" s="188"/>
    </row>
    <row r="31" spans="1:22" ht="12.75">
      <c r="A31" s="16">
        <v>585</v>
      </c>
      <c r="B31" s="3" t="s">
        <v>10</v>
      </c>
      <c r="C31" s="39">
        <v>1145</v>
      </c>
      <c r="D31" s="39">
        <v>285</v>
      </c>
      <c r="E31" s="11">
        <f aca="true" t="shared" si="15" ref="E31:F37">C31*$D$168</f>
        <v>1169.9724500000002</v>
      </c>
      <c r="F31" s="11">
        <f t="shared" si="15"/>
        <v>291.21585000000005</v>
      </c>
      <c r="G31" s="37">
        <f aca="true" t="shared" si="16" ref="G31:G37">F31+E31</f>
        <v>1461.1883000000003</v>
      </c>
      <c r="H31" s="47">
        <f aca="true" t="shared" si="17" ref="H31:H37">G31*0.1</f>
        <v>146.11883000000003</v>
      </c>
      <c r="I31" s="11">
        <f aca="true" t="shared" si="18" ref="I31:I36">$D$10</f>
        <v>475</v>
      </c>
      <c r="J31" s="47">
        <v>0</v>
      </c>
      <c r="K31" s="14">
        <f aca="true" t="shared" si="19" ref="K31:K36">IF((G31+H31+I31+J31)-((G31+H31+I31+J31)*0.235)&lt;$D$11,($D$11-((G31+H31+I31+J31)-((G31+H31+I31+J31)*0.235)))/0.765,0)</f>
        <v>185.66672620914997</v>
      </c>
      <c r="L31" s="14">
        <f aca="true" t="shared" si="20" ref="L31:L37">SUM(G31:K31)</f>
        <v>2267.97385620915</v>
      </c>
      <c r="M31" s="52">
        <f aca="true" t="shared" si="21" ref="M31:M37">$L31*11%</f>
        <v>249.4771241830065</v>
      </c>
      <c r="N31" s="47">
        <f aca="true" t="shared" si="22" ref="N31:O37">$L31*3%</f>
        <v>68.0392156862745</v>
      </c>
      <c r="O31" s="47">
        <f t="shared" si="22"/>
        <v>68.0392156862745</v>
      </c>
      <c r="P31" s="47">
        <f aca="true" t="shared" si="23" ref="P31:P37">$L31*2%</f>
        <v>45.359477124183</v>
      </c>
      <c r="Q31" s="14">
        <f aca="true" t="shared" si="24" ref="Q31:Q37">$L31*4.5%</f>
        <v>102.05882352941175</v>
      </c>
      <c r="R31" s="52">
        <f aca="true" t="shared" si="25" ref="R31:R37">SUM(N31:Q31)+M31</f>
        <v>532.9738562091503</v>
      </c>
      <c r="S31" s="52">
        <f aca="true" t="shared" si="26" ref="S31:S37">(G31+H31+I31)-((G31+H31+I31)*0.235)</f>
        <v>1592.9649544500003</v>
      </c>
      <c r="T31" s="55">
        <f aca="true" t="shared" si="27" ref="T31:T37">L31-R31</f>
        <v>1735</v>
      </c>
      <c r="U31" s="89">
        <f aca="true" t="shared" si="28" ref="U31:U36">$D$12</f>
        <v>165</v>
      </c>
      <c r="V31" s="95">
        <f>T31+U31</f>
        <v>1900</v>
      </c>
    </row>
    <row r="32" spans="1:22" ht="12.75">
      <c r="A32" s="16">
        <v>840</v>
      </c>
      <c r="B32" s="3" t="s">
        <v>7</v>
      </c>
      <c r="C32" s="39">
        <v>996</v>
      </c>
      <c r="D32" s="39">
        <v>259</v>
      </c>
      <c r="E32" s="11">
        <f t="shared" si="15"/>
        <v>1017.7227600000001</v>
      </c>
      <c r="F32" s="11">
        <f t="shared" si="15"/>
        <v>264.64879</v>
      </c>
      <c r="G32" s="37">
        <f t="shared" si="16"/>
        <v>1282.37155</v>
      </c>
      <c r="H32" s="47">
        <f t="shared" si="17"/>
        <v>128.237155</v>
      </c>
      <c r="I32" s="11">
        <f t="shared" si="18"/>
        <v>475</v>
      </c>
      <c r="J32" s="47">
        <v>0</v>
      </c>
      <c r="K32" s="14">
        <f t="shared" si="19"/>
        <v>382.36515120915027</v>
      </c>
      <c r="L32" s="14">
        <f t="shared" si="20"/>
        <v>2267.97385620915</v>
      </c>
      <c r="M32" s="52">
        <f t="shared" si="21"/>
        <v>249.4771241830065</v>
      </c>
      <c r="N32" s="47">
        <f t="shared" si="22"/>
        <v>68.0392156862745</v>
      </c>
      <c r="O32" s="47">
        <f t="shared" si="22"/>
        <v>68.0392156862745</v>
      </c>
      <c r="P32" s="47">
        <f t="shared" si="23"/>
        <v>45.359477124183</v>
      </c>
      <c r="Q32" s="14">
        <f t="shared" si="24"/>
        <v>102.05882352941175</v>
      </c>
      <c r="R32" s="52">
        <f t="shared" si="25"/>
        <v>532.9738562091503</v>
      </c>
      <c r="S32" s="52">
        <f t="shared" si="26"/>
        <v>1442.490659325</v>
      </c>
      <c r="T32" s="55">
        <f t="shared" si="27"/>
        <v>1735</v>
      </c>
      <c r="U32" s="89">
        <f t="shared" si="28"/>
        <v>165</v>
      </c>
      <c r="V32" s="95">
        <f aca="true" t="shared" si="29" ref="V32:V37">T32+U32</f>
        <v>1900</v>
      </c>
    </row>
    <row r="33" spans="1:22" ht="12.75">
      <c r="A33" s="16">
        <v>846</v>
      </c>
      <c r="B33" s="3" t="s">
        <v>8</v>
      </c>
      <c r="C33" s="39">
        <v>866</v>
      </c>
      <c r="D33" s="39">
        <v>214</v>
      </c>
      <c r="E33" s="11">
        <f t="shared" si="15"/>
        <v>884.8874600000001</v>
      </c>
      <c r="F33" s="11">
        <f t="shared" si="15"/>
        <v>218.66734000000002</v>
      </c>
      <c r="G33" s="37">
        <f t="shared" si="16"/>
        <v>1103.5548000000001</v>
      </c>
      <c r="H33" s="47">
        <f t="shared" si="17"/>
        <v>110.35548000000001</v>
      </c>
      <c r="I33" s="11">
        <f t="shared" si="18"/>
        <v>475</v>
      </c>
      <c r="J33" s="47">
        <v>0</v>
      </c>
      <c r="K33" s="14">
        <f t="shared" si="19"/>
        <v>579.0635762091504</v>
      </c>
      <c r="L33" s="14">
        <f t="shared" si="20"/>
        <v>2267.9738562091507</v>
      </c>
      <c r="M33" s="52">
        <f t="shared" si="21"/>
        <v>249.47712418300657</v>
      </c>
      <c r="N33" s="47">
        <f t="shared" si="22"/>
        <v>68.03921568627452</v>
      </c>
      <c r="O33" s="47">
        <f t="shared" si="22"/>
        <v>68.03921568627452</v>
      </c>
      <c r="P33" s="47">
        <f t="shared" si="23"/>
        <v>45.359477124183016</v>
      </c>
      <c r="Q33" s="14">
        <f t="shared" si="24"/>
        <v>102.05882352941178</v>
      </c>
      <c r="R33" s="52">
        <f t="shared" si="25"/>
        <v>532.9738562091504</v>
      </c>
      <c r="S33" s="52">
        <f t="shared" si="26"/>
        <v>1292.0163642</v>
      </c>
      <c r="T33" s="55">
        <f t="shared" si="27"/>
        <v>1735.0000000000002</v>
      </c>
      <c r="U33" s="89">
        <f t="shared" si="28"/>
        <v>165</v>
      </c>
      <c r="V33" s="95">
        <f t="shared" si="29"/>
        <v>1900.0000000000002</v>
      </c>
    </row>
    <row r="34" spans="1:22" ht="12.75">
      <c r="A34" s="90">
        <v>847</v>
      </c>
      <c r="B34" s="29" t="s">
        <v>126</v>
      </c>
      <c r="C34" s="91">
        <v>753</v>
      </c>
      <c r="D34" s="91">
        <v>187</v>
      </c>
      <c r="E34" s="92">
        <f>C34*$D$168</f>
        <v>769.4229300000001</v>
      </c>
      <c r="F34" s="92">
        <f>D34*$D$168</f>
        <v>191.07847</v>
      </c>
      <c r="G34" s="93">
        <f t="shared" si="16"/>
        <v>960.5014000000001</v>
      </c>
      <c r="H34" s="94">
        <f t="shared" si="17"/>
        <v>96.05014000000001</v>
      </c>
      <c r="I34" s="11">
        <f t="shared" si="18"/>
        <v>475</v>
      </c>
      <c r="J34" s="47">
        <v>0</v>
      </c>
      <c r="K34" s="14">
        <f t="shared" si="19"/>
        <v>736.42231620915</v>
      </c>
      <c r="L34" s="14">
        <f t="shared" si="20"/>
        <v>2267.97385620915</v>
      </c>
      <c r="M34" s="52">
        <f t="shared" si="21"/>
        <v>249.4771241830065</v>
      </c>
      <c r="N34" s="47">
        <f t="shared" si="22"/>
        <v>68.0392156862745</v>
      </c>
      <c r="O34" s="47">
        <f t="shared" si="22"/>
        <v>68.0392156862745</v>
      </c>
      <c r="P34" s="47">
        <f t="shared" si="23"/>
        <v>45.359477124183</v>
      </c>
      <c r="Q34" s="14">
        <f t="shared" si="24"/>
        <v>102.05882352941175</v>
      </c>
      <c r="R34" s="52">
        <f t="shared" si="25"/>
        <v>532.9738562091503</v>
      </c>
      <c r="S34" s="52">
        <f t="shared" si="26"/>
        <v>1171.6369281000002</v>
      </c>
      <c r="T34" s="55">
        <f t="shared" si="27"/>
        <v>1735</v>
      </c>
      <c r="U34" s="89">
        <f t="shared" si="28"/>
        <v>165</v>
      </c>
      <c r="V34" s="95">
        <f t="shared" si="29"/>
        <v>1900</v>
      </c>
    </row>
    <row r="35" spans="1:22" ht="12.75">
      <c r="A35" s="16">
        <v>875</v>
      </c>
      <c r="B35" s="3" t="s">
        <v>11</v>
      </c>
      <c r="C35" s="39">
        <v>753</v>
      </c>
      <c r="D35" s="39">
        <v>187</v>
      </c>
      <c r="E35" s="11">
        <f t="shared" si="15"/>
        <v>769.4229300000001</v>
      </c>
      <c r="F35" s="11">
        <f t="shared" si="15"/>
        <v>191.07847</v>
      </c>
      <c r="G35" s="37">
        <f t="shared" si="16"/>
        <v>960.5014000000001</v>
      </c>
      <c r="H35" s="47">
        <f t="shared" si="17"/>
        <v>96.05014000000001</v>
      </c>
      <c r="I35" s="11">
        <f t="shared" si="18"/>
        <v>475</v>
      </c>
      <c r="J35" s="47">
        <v>0</v>
      </c>
      <c r="K35" s="14">
        <f t="shared" si="19"/>
        <v>736.42231620915</v>
      </c>
      <c r="L35" s="14">
        <f t="shared" si="20"/>
        <v>2267.97385620915</v>
      </c>
      <c r="M35" s="52">
        <f t="shared" si="21"/>
        <v>249.4771241830065</v>
      </c>
      <c r="N35" s="47">
        <f t="shared" si="22"/>
        <v>68.0392156862745</v>
      </c>
      <c r="O35" s="47">
        <f t="shared" si="22"/>
        <v>68.0392156862745</v>
      </c>
      <c r="P35" s="47">
        <f t="shared" si="23"/>
        <v>45.359477124183</v>
      </c>
      <c r="Q35" s="14">
        <f t="shared" si="24"/>
        <v>102.05882352941175</v>
      </c>
      <c r="R35" s="52">
        <f t="shared" si="25"/>
        <v>532.9738562091503</v>
      </c>
      <c r="S35" s="52">
        <f t="shared" si="26"/>
        <v>1171.6369281000002</v>
      </c>
      <c r="T35" s="55">
        <f t="shared" si="27"/>
        <v>1735</v>
      </c>
      <c r="U35" s="89">
        <f t="shared" si="28"/>
        <v>165</v>
      </c>
      <c r="V35" s="95">
        <f t="shared" si="29"/>
        <v>1900</v>
      </c>
    </row>
    <row r="36" spans="1:22" ht="12.75">
      <c r="A36" s="16">
        <v>845</v>
      </c>
      <c r="B36" s="3" t="s">
        <v>12</v>
      </c>
      <c r="C36" s="39">
        <v>753</v>
      </c>
      <c r="D36" s="39">
        <v>187</v>
      </c>
      <c r="E36" s="11">
        <f t="shared" si="15"/>
        <v>769.4229300000001</v>
      </c>
      <c r="F36" s="11">
        <f t="shared" si="15"/>
        <v>191.07847</v>
      </c>
      <c r="G36" s="37">
        <f t="shared" si="16"/>
        <v>960.5014000000001</v>
      </c>
      <c r="H36" s="47">
        <f t="shared" si="17"/>
        <v>96.05014000000001</v>
      </c>
      <c r="I36" s="11">
        <f t="shared" si="18"/>
        <v>475</v>
      </c>
      <c r="J36" s="47">
        <v>0</v>
      </c>
      <c r="K36" s="14">
        <f t="shared" si="19"/>
        <v>736.42231620915</v>
      </c>
      <c r="L36" s="14">
        <f t="shared" si="20"/>
        <v>2267.97385620915</v>
      </c>
      <c r="M36" s="52">
        <f t="shared" si="21"/>
        <v>249.4771241830065</v>
      </c>
      <c r="N36" s="47">
        <f t="shared" si="22"/>
        <v>68.0392156862745</v>
      </c>
      <c r="O36" s="47">
        <f t="shared" si="22"/>
        <v>68.0392156862745</v>
      </c>
      <c r="P36" s="47">
        <f t="shared" si="23"/>
        <v>45.359477124183</v>
      </c>
      <c r="Q36" s="14">
        <f t="shared" si="24"/>
        <v>102.05882352941175</v>
      </c>
      <c r="R36" s="52">
        <f t="shared" si="25"/>
        <v>532.9738562091503</v>
      </c>
      <c r="S36" s="52">
        <f t="shared" si="26"/>
        <v>1171.6369281000002</v>
      </c>
      <c r="T36" s="55">
        <f t="shared" si="27"/>
        <v>1735</v>
      </c>
      <c r="U36" s="89">
        <f t="shared" si="28"/>
        <v>165</v>
      </c>
      <c r="V36" s="95">
        <f t="shared" si="29"/>
        <v>1900</v>
      </c>
    </row>
    <row r="37" spans="1:22" ht="13.5" thickBot="1">
      <c r="A37" s="17">
        <v>5566</v>
      </c>
      <c r="B37" s="6" t="s">
        <v>13</v>
      </c>
      <c r="C37" s="40">
        <v>47</v>
      </c>
      <c r="D37" s="40">
        <v>8</v>
      </c>
      <c r="E37" s="12">
        <f t="shared" si="15"/>
        <v>48.02507000000001</v>
      </c>
      <c r="F37" s="12">
        <f t="shared" si="15"/>
        <v>8.17448</v>
      </c>
      <c r="G37" s="38">
        <f t="shared" si="16"/>
        <v>56.19955000000001</v>
      </c>
      <c r="H37" s="48">
        <f t="shared" si="17"/>
        <v>5.619955000000001</v>
      </c>
      <c r="I37" s="11">
        <f>$D$10/17</f>
        <v>27.941176470588236</v>
      </c>
      <c r="J37" s="48">
        <v>0</v>
      </c>
      <c r="K37" s="14">
        <f>IF((G37+H37+I37+J37)-((G37+H37+I37+J37)*0.235)&lt;$D$11/15,($D$11/15-((G37+H37+I37+J37)-((G37+H37+I37+J37)*0.235)))/0.765,0)</f>
        <v>61.43757561002179</v>
      </c>
      <c r="L37" s="14">
        <f t="shared" si="20"/>
        <v>151.19825708061003</v>
      </c>
      <c r="M37" s="53">
        <f t="shared" si="21"/>
        <v>16.631808278867105</v>
      </c>
      <c r="N37" s="48">
        <f t="shared" si="22"/>
        <v>4.5359477124183005</v>
      </c>
      <c r="O37" s="48">
        <f t="shared" si="22"/>
        <v>4.5359477124183005</v>
      </c>
      <c r="P37" s="48">
        <f t="shared" si="23"/>
        <v>3.0239651416122006</v>
      </c>
      <c r="Q37" s="15">
        <f t="shared" si="24"/>
        <v>6.803921568627452</v>
      </c>
      <c r="R37" s="53">
        <f t="shared" si="25"/>
        <v>35.53159041394336</v>
      </c>
      <c r="S37" s="52">
        <f t="shared" si="26"/>
        <v>68.666921325</v>
      </c>
      <c r="T37" s="55">
        <f t="shared" si="27"/>
        <v>115.66666666666667</v>
      </c>
      <c r="U37" s="89">
        <f>$D$12/15</f>
        <v>11</v>
      </c>
      <c r="V37" s="95">
        <f t="shared" si="29"/>
        <v>126.66666666666667</v>
      </c>
    </row>
    <row r="38" ht="13.5" thickBot="1"/>
    <row r="39" spans="1:22" ht="20.25">
      <c r="A39" s="176" t="s">
        <v>14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83"/>
      <c r="V39" s="84"/>
    </row>
    <row r="40" spans="1:22" s="13" customFormat="1" ht="12.75" customHeight="1">
      <c r="A40" s="178" t="s">
        <v>1</v>
      </c>
      <c r="B40" s="180" t="s">
        <v>0</v>
      </c>
      <c r="C40" s="180" t="s">
        <v>2</v>
      </c>
      <c r="D40" s="180"/>
      <c r="E40" s="182" t="s">
        <v>61</v>
      </c>
      <c r="F40" s="182" t="s">
        <v>62</v>
      </c>
      <c r="G40" s="184" t="s">
        <v>68</v>
      </c>
      <c r="H40" s="184" t="s">
        <v>66</v>
      </c>
      <c r="I40" s="182" t="s">
        <v>132</v>
      </c>
      <c r="J40" s="184" t="s">
        <v>77</v>
      </c>
      <c r="K40" s="186" t="s">
        <v>118</v>
      </c>
      <c r="L40" s="186" t="s">
        <v>117</v>
      </c>
      <c r="M40" s="188" t="s">
        <v>99</v>
      </c>
      <c r="N40" s="189"/>
      <c r="O40" s="189"/>
      <c r="P40" s="189"/>
      <c r="Q40" s="189"/>
      <c r="R40" s="190" t="s">
        <v>116</v>
      </c>
      <c r="S40" s="190" t="s">
        <v>115</v>
      </c>
      <c r="T40" s="192" t="s">
        <v>114</v>
      </c>
      <c r="U40" s="192" t="s">
        <v>121</v>
      </c>
      <c r="V40" s="192" t="s">
        <v>122</v>
      </c>
    </row>
    <row r="41" spans="1:22" s="13" customFormat="1" ht="78" customHeight="1">
      <c r="A41" s="179"/>
      <c r="B41" s="181"/>
      <c r="C41" s="8" t="s">
        <v>3</v>
      </c>
      <c r="D41" s="8" t="s">
        <v>6</v>
      </c>
      <c r="E41" s="183"/>
      <c r="F41" s="183"/>
      <c r="G41" s="185"/>
      <c r="H41" s="185"/>
      <c r="I41" s="183"/>
      <c r="J41" s="185"/>
      <c r="K41" s="187"/>
      <c r="L41" s="187"/>
      <c r="M41" s="63" t="s">
        <v>101</v>
      </c>
      <c r="N41" s="62" t="s">
        <v>102</v>
      </c>
      <c r="O41" s="62" t="s">
        <v>103</v>
      </c>
      <c r="P41" s="64" t="s">
        <v>104</v>
      </c>
      <c r="Q41" s="64" t="s">
        <v>105</v>
      </c>
      <c r="R41" s="191"/>
      <c r="S41" s="191"/>
      <c r="T41" s="188"/>
      <c r="U41" s="188"/>
      <c r="V41" s="188"/>
    </row>
    <row r="42" spans="1:22" ht="12.75">
      <c r="A42" s="16">
        <v>835</v>
      </c>
      <c r="B42" s="3" t="s">
        <v>10</v>
      </c>
      <c r="C42" s="39">
        <v>2027</v>
      </c>
      <c r="D42" s="39">
        <v>399</v>
      </c>
      <c r="E42" s="11">
        <f aca="true" t="shared" si="30" ref="E42:F46">C42*$D$168</f>
        <v>2071.2088700000004</v>
      </c>
      <c r="F42" s="11">
        <f t="shared" si="30"/>
        <v>407.70219000000003</v>
      </c>
      <c r="G42" s="37">
        <f>F42+E42</f>
        <v>2478.9110600000004</v>
      </c>
      <c r="H42" s="47">
        <f>G42*0.1</f>
        <v>247.89110600000004</v>
      </c>
      <c r="I42" s="11">
        <f>$D$10*2</f>
        <v>950</v>
      </c>
      <c r="J42" s="47">
        <v>0</v>
      </c>
      <c r="K42" s="14">
        <f>IF((G42+H42+I42+J42)-((G42+H42+I42+J42)*0.235)&lt;$D$11,($D$11-((G42+H42+I42+J42)-((G42+H42+I42+J42)*0.235)))/0.765,0)</f>
        <v>0</v>
      </c>
      <c r="L42" s="14">
        <f>SUM(G42:K42)</f>
        <v>3676.8021660000004</v>
      </c>
      <c r="M42" s="52">
        <f>$L42*11%</f>
        <v>404.44823826000004</v>
      </c>
      <c r="N42" s="47">
        <f aca="true" t="shared" si="31" ref="N42:O46">$L42*3%</f>
        <v>110.30406498</v>
      </c>
      <c r="O42" s="47">
        <f t="shared" si="31"/>
        <v>110.30406498</v>
      </c>
      <c r="P42" s="47">
        <f>$L42*2%</f>
        <v>73.53604332</v>
      </c>
      <c r="Q42" s="14">
        <f>$L42*4.5%</f>
        <v>165.45609747</v>
      </c>
      <c r="R42" s="52">
        <f>SUM(N42:Q42)+M42</f>
        <v>864.0485090100001</v>
      </c>
      <c r="S42" s="52">
        <f>(G42+H42+I42)-((G42+H42+I42)*0.235)</f>
        <v>2812.7536569900003</v>
      </c>
      <c r="T42" s="55">
        <f>L42-R42</f>
        <v>2812.7536569900003</v>
      </c>
      <c r="U42" s="89">
        <v>330</v>
      </c>
      <c r="V42" s="95">
        <f>T42+U42</f>
        <v>3142.7536569900003</v>
      </c>
    </row>
    <row r="43" spans="1:22" ht="12.75">
      <c r="A43" s="16">
        <v>877</v>
      </c>
      <c r="B43" s="3" t="s">
        <v>7</v>
      </c>
      <c r="C43" s="39">
        <v>1763</v>
      </c>
      <c r="D43" s="39">
        <v>436</v>
      </c>
      <c r="E43" s="11">
        <f t="shared" si="30"/>
        <v>1801.4510300000002</v>
      </c>
      <c r="F43" s="11">
        <f t="shared" si="30"/>
        <v>445.50916000000007</v>
      </c>
      <c r="G43" s="37">
        <f>F43+E43</f>
        <v>2246.9601900000002</v>
      </c>
      <c r="H43" s="47">
        <f>G43*0.1</f>
        <v>224.69601900000004</v>
      </c>
      <c r="I43" s="11">
        <f>$D$10*2</f>
        <v>950</v>
      </c>
      <c r="J43" s="47">
        <v>0</v>
      </c>
      <c r="K43" s="14">
        <f>IF((G43+H43+I43+J43)-((G43+H43+I43+J43)*0.235)&lt;$D$11,($D$11-((G43+H43+I43+J43)-((G43+H43+I43+J43)*0.235)))/0.765,0)</f>
        <v>0</v>
      </c>
      <c r="L43" s="14">
        <f>SUM(G43:K43)</f>
        <v>3421.656209</v>
      </c>
      <c r="M43" s="52">
        <f>$L43*11%</f>
        <v>376.38218299000005</v>
      </c>
      <c r="N43" s="47">
        <f t="shared" si="31"/>
        <v>102.64968627</v>
      </c>
      <c r="O43" s="47">
        <f t="shared" si="31"/>
        <v>102.64968627</v>
      </c>
      <c r="P43" s="47">
        <f>$L43*2%</f>
        <v>68.43312418000001</v>
      </c>
      <c r="Q43" s="14">
        <f>$L43*4.5%</f>
        <v>153.974529405</v>
      </c>
      <c r="R43" s="52">
        <f>SUM(N43:Q43)+M43</f>
        <v>804.0892091150001</v>
      </c>
      <c r="S43" s="52">
        <f>(G43+H43+I43)-((G43+H43+I43)*0.235)</f>
        <v>2617.5669998850003</v>
      </c>
      <c r="T43" s="55">
        <f>L43-R43</f>
        <v>2617.566999885</v>
      </c>
      <c r="U43" s="89">
        <v>330</v>
      </c>
      <c r="V43" s="95">
        <f>T43+U43</f>
        <v>2947.566999885</v>
      </c>
    </row>
    <row r="44" spans="1:22" ht="12.75">
      <c r="A44" s="16">
        <v>838</v>
      </c>
      <c r="B44" s="3" t="s">
        <v>8</v>
      </c>
      <c r="C44" s="39">
        <v>1533</v>
      </c>
      <c r="D44" s="39">
        <v>439</v>
      </c>
      <c r="E44" s="11">
        <f t="shared" si="30"/>
        <v>1566.4347300000002</v>
      </c>
      <c r="F44" s="11">
        <f t="shared" si="30"/>
        <v>448.57459000000006</v>
      </c>
      <c r="G44" s="37">
        <f>F44+E44</f>
        <v>2015.0093200000001</v>
      </c>
      <c r="H44" s="47">
        <f>G44*0.1</f>
        <v>201.50093200000003</v>
      </c>
      <c r="I44" s="11">
        <f>$D$10*2</f>
        <v>950</v>
      </c>
      <c r="J44" s="47">
        <v>0</v>
      </c>
      <c r="K44" s="14">
        <f>IF((G44+H44+I44+J44)-((G44+H44+I44+J44)*0.235)&lt;$D$11,($D$11-((G44+H44+I44+J44)-((G44+H44+I44+J44)*0.235)))/0.765,0)</f>
        <v>0</v>
      </c>
      <c r="L44" s="14">
        <f>SUM(G44:K44)</f>
        <v>3166.510252</v>
      </c>
      <c r="M44" s="52">
        <f>$L44*11%</f>
        <v>348.31612772</v>
      </c>
      <c r="N44" s="47">
        <f t="shared" si="31"/>
        <v>94.99530756</v>
      </c>
      <c r="O44" s="47">
        <f t="shared" si="31"/>
        <v>94.99530756</v>
      </c>
      <c r="P44" s="47">
        <f>$L44*2%</f>
        <v>63.33020504</v>
      </c>
      <c r="Q44" s="14">
        <f>$L44*4.5%</f>
        <v>142.49296134</v>
      </c>
      <c r="R44" s="52">
        <f>SUM(N44:Q44)+M44</f>
        <v>744.12990922</v>
      </c>
      <c r="S44" s="52">
        <f>(G44+H44+I44)-((G44+H44+I44)*0.235)</f>
        <v>2422.3803427800003</v>
      </c>
      <c r="T44" s="55">
        <f>L44-R44</f>
        <v>2422.3803427800003</v>
      </c>
      <c r="U44" s="89">
        <v>330</v>
      </c>
      <c r="V44" s="95">
        <f>T44+U44</f>
        <v>2752.3803427800003</v>
      </c>
    </row>
    <row r="45" spans="1:22" ht="12.75">
      <c r="A45" s="16">
        <v>906</v>
      </c>
      <c r="B45" s="3" t="s">
        <v>90</v>
      </c>
      <c r="C45" s="39">
        <v>1506</v>
      </c>
      <c r="D45" s="39">
        <v>374</v>
      </c>
      <c r="E45" s="11">
        <f t="shared" si="30"/>
        <v>1538.8458600000001</v>
      </c>
      <c r="F45" s="11">
        <f t="shared" si="30"/>
        <v>382.15694</v>
      </c>
      <c r="G45" s="37">
        <f>F45+E45</f>
        <v>1921.0028000000002</v>
      </c>
      <c r="H45" s="47">
        <f>G45*0.1</f>
        <v>192.10028000000003</v>
      </c>
      <c r="I45" s="11">
        <f>$D$10*2</f>
        <v>950</v>
      </c>
      <c r="J45" s="47">
        <v>0</v>
      </c>
      <c r="K45" s="14">
        <f>IF((G45+H45+I45+J45)-((G45+H45+I45+J45)*0.235)&lt;$D$11,($D$11-((G45+H45+I45+J45)-((G45+H45+I45+J45)*0.235)))/0.765,0)</f>
        <v>0</v>
      </c>
      <c r="L45" s="14">
        <f>SUM(G45:K45)</f>
        <v>3063.1030800000003</v>
      </c>
      <c r="M45" s="52">
        <f>$L45*11%</f>
        <v>336.94133880000004</v>
      </c>
      <c r="N45" s="47">
        <f t="shared" si="31"/>
        <v>91.8930924</v>
      </c>
      <c r="O45" s="47">
        <f t="shared" si="31"/>
        <v>91.8930924</v>
      </c>
      <c r="P45" s="47">
        <f>$L45*2%</f>
        <v>61.26206160000001</v>
      </c>
      <c r="Q45" s="14">
        <f>$L45*4.5%</f>
        <v>137.8396386</v>
      </c>
      <c r="R45" s="52">
        <f>SUM(N45:Q45)+M45</f>
        <v>719.8292238</v>
      </c>
      <c r="S45" s="52">
        <f>(G45+H45+I45)-((G45+H45+I45)*0.235)</f>
        <v>2343.2738562000004</v>
      </c>
      <c r="T45" s="55">
        <f>L45-R45</f>
        <v>2343.2738562000004</v>
      </c>
      <c r="U45" s="89">
        <v>330</v>
      </c>
      <c r="V45" s="95">
        <f>T45+U45</f>
        <v>2673.2738562000004</v>
      </c>
    </row>
    <row r="46" spans="1:22" ht="13.5" thickBot="1">
      <c r="A46" s="17">
        <v>567</v>
      </c>
      <c r="B46" s="6" t="s">
        <v>15</v>
      </c>
      <c r="C46" s="40">
        <v>47</v>
      </c>
      <c r="D46" s="40">
        <v>8</v>
      </c>
      <c r="E46" s="12">
        <f t="shared" si="30"/>
        <v>48.02507000000001</v>
      </c>
      <c r="F46" s="12">
        <f t="shared" si="30"/>
        <v>8.17448</v>
      </c>
      <c r="G46" s="38">
        <f>F46+E46</f>
        <v>56.19955000000001</v>
      </c>
      <c r="H46" s="48">
        <f>G46*0.1</f>
        <v>5.619955000000001</v>
      </c>
      <c r="I46" s="11">
        <f>$D$10/17</f>
        <v>27.941176470588236</v>
      </c>
      <c r="J46" s="48">
        <v>0</v>
      </c>
      <c r="K46" s="14">
        <f>IF((G46+H46+I46+J46)-((G46+H46+I46+J46)*0.235)&lt;$D$11/15,($D$11/15-((G46+H46+I46+J46)-((G46+H46+I46+J46)*0.235)))/0.765,0)</f>
        <v>61.43757561002179</v>
      </c>
      <c r="L46" s="14">
        <f>SUM(G46:K46)</f>
        <v>151.19825708061003</v>
      </c>
      <c r="M46" s="53">
        <f>$L46*11%</f>
        <v>16.631808278867105</v>
      </c>
      <c r="N46" s="48">
        <f t="shared" si="31"/>
        <v>4.5359477124183005</v>
      </c>
      <c r="O46" s="48">
        <f t="shared" si="31"/>
        <v>4.5359477124183005</v>
      </c>
      <c r="P46" s="48">
        <f>$L46*2%</f>
        <v>3.0239651416122006</v>
      </c>
      <c r="Q46" s="15">
        <f>$L46*4.5%</f>
        <v>6.803921568627452</v>
      </c>
      <c r="R46" s="53">
        <f>SUM(N46:Q46)+M46</f>
        <v>35.53159041394336</v>
      </c>
      <c r="S46" s="52">
        <f>(G46+H46+I46)-((G46+H46+I46)*0.235)</f>
        <v>68.666921325</v>
      </c>
      <c r="T46" s="55">
        <f>L46-R46</f>
        <v>115.66666666666667</v>
      </c>
      <c r="U46" s="89">
        <f>$D$12/15</f>
        <v>11</v>
      </c>
      <c r="V46" s="95">
        <f>T46+U46</f>
        <v>126.66666666666667</v>
      </c>
    </row>
    <row r="47" ht="13.5" thickBot="1"/>
    <row r="48" spans="1:22" s="13" customFormat="1" ht="20.25">
      <c r="A48" s="193" t="s">
        <v>16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87"/>
      <c r="V48" s="88"/>
    </row>
    <row r="49" spans="1:22" s="13" customFormat="1" ht="12.75" customHeight="1">
      <c r="A49" s="178" t="s">
        <v>1</v>
      </c>
      <c r="B49" s="180" t="s">
        <v>0</v>
      </c>
      <c r="C49" s="180" t="s">
        <v>2</v>
      </c>
      <c r="D49" s="180"/>
      <c r="E49" s="182" t="s">
        <v>61</v>
      </c>
      <c r="F49" s="182" t="s">
        <v>62</v>
      </c>
      <c r="G49" s="184" t="s">
        <v>68</v>
      </c>
      <c r="H49" s="184" t="s">
        <v>66</v>
      </c>
      <c r="I49" s="182" t="s">
        <v>132</v>
      </c>
      <c r="J49" s="184" t="s">
        <v>77</v>
      </c>
      <c r="K49" s="186" t="s">
        <v>118</v>
      </c>
      <c r="L49" s="186" t="s">
        <v>117</v>
      </c>
      <c r="M49" s="188" t="s">
        <v>99</v>
      </c>
      <c r="N49" s="189"/>
      <c r="O49" s="189"/>
      <c r="P49" s="189"/>
      <c r="Q49" s="189"/>
      <c r="R49" s="190" t="s">
        <v>116</v>
      </c>
      <c r="S49" s="190" t="s">
        <v>115</v>
      </c>
      <c r="T49" s="192" t="s">
        <v>114</v>
      </c>
      <c r="U49" s="192" t="s">
        <v>121</v>
      </c>
      <c r="V49" s="192" t="s">
        <v>122</v>
      </c>
    </row>
    <row r="50" spans="1:22" s="13" customFormat="1" ht="78" customHeight="1">
      <c r="A50" s="179"/>
      <c r="B50" s="181"/>
      <c r="C50" s="8" t="s">
        <v>3</v>
      </c>
      <c r="D50" s="8" t="s">
        <v>6</v>
      </c>
      <c r="E50" s="183"/>
      <c r="F50" s="183"/>
      <c r="G50" s="185"/>
      <c r="H50" s="185"/>
      <c r="I50" s="183"/>
      <c r="J50" s="185"/>
      <c r="K50" s="187"/>
      <c r="L50" s="187"/>
      <c r="M50" s="63" t="s">
        <v>101</v>
      </c>
      <c r="N50" s="62" t="s">
        <v>102</v>
      </c>
      <c r="O50" s="62" t="s">
        <v>103</v>
      </c>
      <c r="P50" s="64" t="s">
        <v>104</v>
      </c>
      <c r="Q50" s="64" t="s">
        <v>105</v>
      </c>
      <c r="R50" s="191"/>
      <c r="S50" s="191"/>
      <c r="T50" s="188"/>
      <c r="U50" s="188"/>
      <c r="V50" s="188"/>
    </row>
    <row r="51" spans="1:22" ht="12.75">
      <c r="A51" s="16">
        <v>834</v>
      </c>
      <c r="B51" s="3" t="s">
        <v>10</v>
      </c>
      <c r="C51" s="39">
        <v>2027</v>
      </c>
      <c r="D51" s="39">
        <v>399</v>
      </c>
      <c r="E51" s="11">
        <f aca="true" t="shared" si="32" ref="E51:F56">C51*$D$168</f>
        <v>2071.2088700000004</v>
      </c>
      <c r="F51" s="11">
        <f t="shared" si="32"/>
        <v>407.70219000000003</v>
      </c>
      <c r="G51" s="37">
        <f aca="true" t="shared" si="33" ref="G51:G56">F51+E51</f>
        <v>2478.9110600000004</v>
      </c>
      <c r="H51" s="47">
        <f aca="true" t="shared" si="34" ref="H51:H56">G51*0.1</f>
        <v>247.89110600000004</v>
      </c>
      <c r="I51" s="11">
        <f>$D$10*2</f>
        <v>950</v>
      </c>
      <c r="J51" s="47">
        <v>0</v>
      </c>
      <c r="K51" s="14">
        <f>IF((G51+H51+I51+J51)-((G51+H51+I51+J51)*0.235)&lt;$D$11,($D$11-((G51+H51+I51+J51)-((G51+H51+I51+J51)*0.235)))/0.765,0)</f>
        <v>0</v>
      </c>
      <c r="L51" s="14">
        <f aca="true" t="shared" si="35" ref="L51:L56">SUM(G51:K51)</f>
        <v>3676.8021660000004</v>
      </c>
      <c r="M51" s="52">
        <f aca="true" t="shared" si="36" ref="M51:M56">$L51*11%</f>
        <v>404.44823826000004</v>
      </c>
      <c r="N51" s="47">
        <f aca="true" t="shared" si="37" ref="N51:O56">$L51*3%</f>
        <v>110.30406498</v>
      </c>
      <c r="O51" s="47">
        <f t="shared" si="37"/>
        <v>110.30406498</v>
      </c>
      <c r="P51" s="47">
        <f aca="true" t="shared" si="38" ref="P51:P56">$L51*2%</f>
        <v>73.53604332</v>
      </c>
      <c r="Q51" s="14">
        <f aca="true" t="shared" si="39" ref="Q51:Q56">$L51*4.5%</f>
        <v>165.45609747</v>
      </c>
      <c r="R51" s="52">
        <f aca="true" t="shared" si="40" ref="R51:R56">SUM(N51:Q51)+M51</f>
        <v>864.0485090100001</v>
      </c>
      <c r="S51" s="52">
        <f aca="true" t="shared" si="41" ref="S51:S56">(G51+H51+I51)-((G51+H51+I51)*0.235)</f>
        <v>2812.7536569900003</v>
      </c>
      <c r="T51" s="55">
        <f aca="true" t="shared" si="42" ref="T51:T56">L51-R51</f>
        <v>2812.7536569900003</v>
      </c>
      <c r="U51" s="89">
        <v>330</v>
      </c>
      <c r="V51" s="95">
        <f aca="true" t="shared" si="43" ref="V51:V56">T51+U51</f>
        <v>3142.7536569900003</v>
      </c>
    </row>
    <row r="52" spans="1:22" ht="12.75">
      <c r="A52" s="16">
        <v>870</v>
      </c>
      <c r="B52" s="3" t="s">
        <v>7</v>
      </c>
      <c r="C52" s="39">
        <v>1763</v>
      </c>
      <c r="D52" s="39">
        <v>436</v>
      </c>
      <c r="E52" s="11">
        <f t="shared" si="32"/>
        <v>1801.4510300000002</v>
      </c>
      <c r="F52" s="11">
        <f t="shared" si="32"/>
        <v>445.50916000000007</v>
      </c>
      <c r="G52" s="37">
        <f t="shared" si="33"/>
        <v>2246.9601900000002</v>
      </c>
      <c r="H52" s="47">
        <f t="shared" si="34"/>
        <v>224.69601900000004</v>
      </c>
      <c r="I52" s="11">
        <f>$D$10*2</f>
        <v>950</v>
      </c>
      <c r="J52" s="47">
        <v>0</v>
      </c>
      <c r="K52" s="14">
        <f>IF((G52+H52+I52+J52)-((G52+H52+I52+J52)*0.235)&lt;$D$11,($D$11-((G52+H52+I52+J52)-((G52+H52+I52+J52)*0.235)))/0.765,0)</f>
        <v>0</v>
      </c>
      <c r="L52" s="14">
        <f t="shared" si="35"/>
        <v>3421.656209</v>
      </c>
      <c r="M52" s="52">
        <f t="shared" si="36"/>
        <v>376.38218299000005</v>
      </c>
      <c r="N52" s="47">
        <f t="shared" si="37"/>
        <v>102.64968627</v>
      </c>
      <c r="O52" s="47">
        <f t="shared" si="37"/>
        <v>102.64968627</v>
      </c>
      <c r="P52" s="47">
        <f t="shared" si="38"/>
        <v>68.43312418000001</v>
      </c>
      <c r="Q52" s="14">
        <f t="shared" si="39"/>
        <v>153.974529405</v>
      </c>
      <c r="R52" s="52">
        <f t="shared" si="40"/>
        <v>804.0892091150001</v>
      </c>
      <c r="S52" s="52">
        <f t="shared" si="41"/>
        <v>2617.5669998850003</v>
      </c>
      <c r="T52" s="55">
        <f t="shared" si="42"/>
        <v>2617.566999885</v>
      </c>
      <c r="U52" s="89">
        <v>330</v>
      </c>
      <c r="V52" s="95">
        <f t="shared" si="43"/>
        <v>2947.566999885</v>
      </c>
    </row>
    <row r="53" spans="1:22" ht="12.75">
      <c r="A53" s="16">
        <v>849</v>
      </c>
      <c r="B53" s="3" t="s">
        <v>8</v>
      </c>
      <c r="C53" s="39">
        <v>1533</v>
      </c>
      <c r="D53" s="39">
        <v>439</v>
      </c>
      <c r="E53" s="11">
        <f t="shared" si="32"/>
        <v>1566.4347300000002</v>
      </c>
      <c r="F53" s="11">
        <f t="shared" si="32"/>
        <v>448.57459000000006</v>
      </c>
      <c r="G53" s="37">
        <f t="shared" si="33"/>
        <v>2015.0093200000001</v>
      </c>
      <c r="H53" s="47">
        <f t="shared" si="34"/>
        <v>201.50093200000003</v>
      </c>
      <c r="I53" s="11">
        <f>$D$10*2</f>
        <v>950</v>
      </c>
      <c r="J53" s="47">
        <v>0</v>
      </c>
      <c r="K53" s="14">
        <f>IF((G53+H53+I53+J53)-((G53+H53+I53+J53)*0.235)&lt;$D$11,($D$11-((G53+H53+I53+J53)-((G53+H53+I53+J53)*0.235)))/0.765,0)</f>
        <v>0</v>
      </c>
      <c r="L53" s="14">
        <f t="shared" si="35"/>
        <v>3166.510252</v>
      </c>
      <c r="M53" s="52">
        <f t="shared" si="36"/>
        <v>348.31612772</v>
      </c>
      <c r="N53" s="47">
        <f t="shared" si="37"/>
        <v>94.99530756</v>
      </c>
      <c r="O53" s="47">
        <f t="shared" si="37"/>
        <v>94.99530756</v>
      </c>
      <c r="P53" s="47">
        <f t="shared" si="38"/>
        <v>63.33020504</v>
      </c>
      <c r="Q53" s="14">
        <f t="shared" si="39"/>
        <v>142.49296134</v>
      </c>
      <c r="R53" s="52">
        <f t="shared" si="40"/>
        <v>744.12990922</v>
      </c>
      <c r="S53" s="52">
        <f t="shared" si="41"/>
        <v>2422.3803427800003</v>
      </c>
      <c r="T53" s="55">
        <f t="shared" si="42"/>
        <v>2422.3803427800003</v>
      </c>
      <c r="U53" s="89">
        <v>330</v>
      </c>
      <c r="V53" s="95">
        <f t="shared" si="43"/>
        <v>2752.3803427800003</v>
      </c>
    </row>
    <row r="54" spans="1:22" ht="12.75">
      <c r="A54" s="16">
        <v>855</v>
      </c>
      <c r="B54" s="3" t="s">
        <v>12</v>
      </c>
      <c r="C54" s="39">
        <v>1433</v>
      </c>
      <c r="D54" s="39">
        <v>282</v>
      </c>
      <c r="E54" s="11">
        <f t="shared" si="32"/>
        <v>1464.2537300000001</v>
      </c>
      <c r="F54" s="11">
        <f t="shared" si="32"/>
        <v>288.15042000000005</v>
      </c>
      <c r="G54" s="37">
        <f t="shared" si="33"/>
        <v>1752.4041500000003</v>
      </c>
      <c r="H54" s="47">
        <f t="shared" si="34"/>
        <v>175.24041500000004</v>
      </c>
      <c r="I54" s="11">
        <f>$D$10*2</f>
        <v>950</v>
      </c>
      <c r="J54" s="47">
        <v>0</v>
      </c>
      <c r="K54" s="14">
        <f>IF((G54+H54+I54+J54)-((G54+H54+I54+J54)*0.235)&lt;$D$11,($D$11-((G54+H54+I54+J54)-((G54+H54+I54+J54)*0.235)))/0.765,0)</f>
        <v>0</v>
      </c>
      <c r="L54" s="14">
        <f t="shared" si="35"/>
        <v>2877.6445650000005</v>
      </c>
      <c r="M54" s="52">
        <f t="shared" si="36"/>
        <v>316.5409021500001</v>
      </c>
      <c r="N54" s="47">
        <f t="shared" si="37"/>
        <v>86.32933695000001</v>
      </c>
      <c r="O54" s="47">
        <f t="shared" si="37"/>
        <v>86.32933695000001</v>
      </c>
      <c r="P54" s="47">
        <f t="shared" si="38"/>
        <v>57.55289130000001</v>
      </c>
      <c r="Q54" s="14">
        <f t="shared" si="39"/>
        <v>129.494005425</v>
      </c>
      <c r="R54" s="52">
        <f t="shared" si="40"/>
        <v>676.2464727750001</v>
      </c>
      <c r="S54" s="52">
        <f t="shared" si="41"/>
        <v>2201.3980922250003</v>
      </c>
      <c r="T54" s="55">
        <f t="shared" si="42"/>
        <v>2201.3980922250003</v>
      </c>
      <c r="U54" s="89">
        <v>330</v>
      </c>
      <c r="V54" s="95">
        <f t="shared" si="43"/>
        <v>2531.3980922250003</v>
      </c>
    </row>
    <row r="55" spans="1:22" ht="12.75">
      <c r="A55" s="90">
        <v>856</v>
      </c>
      <c r="B55" s="29" t="s">
        <v>126</v>
      </c>
      <c r="C55" s="91">
        <v>1433</v>
      </c>
      <c r="D55" s="91">
        <v>282</v>
      </c>
      <c r="E55" s="92">
        <f>C55*$D$168</f>
        <v>1464.2537300000001</v>
      </c>
      <c r="F55" s="92">
        <f>D55*$D$168</f>
        <v>288.15042000000005</v>
      </c>
      <c r="G55" s="93">
        <f t="shared" si="33"/>
        <v>1752.4041500000003</v>
      </c>
      <c r="H55" s="94">
        <f t="shared" si="34"/>
        <v>175.24041500000004</v>
      </c>
      <c r="I55" s="11">
        <f>$D$10*2</f>
        <v>950</v>
      </c>
      <c r="J55" s="47">
        <v>0</v>
      </c>
      <c r="K55" s="14">
        <f>IF((G55+H55+I55+J55)-((G55+H55+I55+J55)*0.235)&lt;$D$11,($D$11-((G55+H55+I55+J55)-((G55+H55+I55+J55)*0.235)))/0.765,0)</f>
        <v>0</v>
      </c>
      <c r="L55" s="14">
        <f t="shared" si="35"/>
        <v>2877.6445650000005</v>
      </c>
      <c r="M55" s="52">
        <f t="shared" si="36"/>
        <v>316.5409021500001</v>
      </c>
      <c r="N55" s="47">
        <f t="shared" si="37"/>
        <v>86.32933695000001</v>
      </c>
      <c r="O55" s="47">
        <f t="shared" si="37"/>
        <v>86.32933695000001</v>
      </c>
      <c r="P55" s="47">
        <f t="shared" si="38"/>
        <v>57.55289130000001</v>
      </c>
      <c r="Q55" s="14">
        <f t="shared" si="39"/>
        <v>129.494005425</v>
      </c>
      <c r="R55" s="52">
        <f t="shared" si="40"/>
        <v>676.2464727750001</v>
      </c>
      <c r="S55" s="52">
        <f t="shared" si="41"/>
        <v>2201.3980922250003</v>
      </c>
      <c r="T55" s="55">
        <f t="shared" si="42"/>
        <v>2201.3980922250003</v>
      </c>
      <c r="U55" s="89">
        <v>330</v>
      </c>
      <c r="V55" s="95">
        <f t="shared" si="43"/>
        <v>2531.3980922250003</v>
      </c>
    </row>
    <row r="56" spans="1:22" ht="13.5" thickBot="1">
      <c r="A56" s="17">
        <v>5567</v>
      </c>
      <c r="B56" s="6" t="s">
        <v>15</v>
      </c>
      <c r="C56" s="40">
        <v>47</v>
      </c>
      <c r="D56" s="40">
        <v>8</v>
      </c>
      <c r="E56" s="12">
        <f t="shared" si="32"/>
        <v>48.02507000000001</v>
      </c>
      <c r="F56" s="12">
        <f t="shared" si="32"/>
        <v>8.17448</v>
      </c>
      <c r="G56" s="38">
        <f t="shared" si="33"/>
        <v>56.19955000000001</v>
      </c>
      <c r="H56" s="48">
        <f t="shared" si="34"/>
        <v>5.619955000000001</v>
      </c>
      <c r="I56" s="11">
        <f>$D$10/17</f>
        <v>27.941176470588236</v>
      </c>
      <c r="J56" s="48">
        <v>0</v>
      </c>
      <c r="K56" s="14">
        <f>IF((G56+H56+I56+J56)-((G56+H56+I56+J56)*0.235)&lt;$D$11/15,($D$11/15-((G56+H56+I56+J56)-((G56+H56+I56+J56)*0.235)))/0.765,0)</f>
        <v>61.43757561002179</v>
      </c>
      <c r="L56" s="14">
        <f t="shared" si="35"/>
        <v>151.19825708061003</v>
      </c>
      <c r="M56" s="53">
        <f t="shared" si="36"/>
        <v>16.631808278867105</v>
      </c>
      <c r="N56" s="48">
        <f t="shared" si="37"/>
        <v>4.5359477124183005</v>
      </c>
      <c r="O56" s="48">
        <f t="shared" si="37"/>
        <v>4.5359477124183005</v>
      </c>
      <c r="P56" s="48">
        <f t="shared" si="38"/>
        <v>3.0239651416122006</v>
      </c>
      <c r="Q56" s="15">
        <f t="shared" si="39"/>
        <v>6.803921568627452</v>
      </c>
      <c r="R56" s="53">
        <f t="shared" si="40"/>
        <v>35.53159041394336</v>
      </c>
      <c r="S56" s="52">
        <f t="shared" si="41"/>
        <v>68.666921325</v>
      </c>
      <c r="T56" s="55">
        <f t="shared" si="42"/>
        <v>115.66666666666667</v>
      </c>
      <c r="U56" s="89">
        <f>$D$12/15</f>
        <v>11</v>
      </c>
      <c r="V56" s="95">
        <f t="shared" si="43"/>
        <v>126.66666666666667</v>
      </c>
    </row>
    <row r="57" ht="13.5" thickBot="1"/>
    <row r="58" spans="1:22" ht="20.25">
      <c r="A58" s="176" t="s">
        <v>17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83"/>
      <c r="V58" s="84"/>
    </row>
    <row r="59" spans="1:22" s="13" customFormat="1" ht="12.75" customHeight="1">
      <c r="A59" s="178" t="s">
        <v>1</v>
      </c>
      <c r="B59" s="180" t="s">
        <v>0</v>
      </c>
      <c r="C59" s="180" t="s">
        <v>2</v>
      </c>
      <c r="D59" s="180"/>
      <c r="E59" s="182" t="s">
        <v>61</v>
      </c>
      <c r="F59" s="182" t="s">
        <v>62</v>
      </c>
      <c r="G59" s="184" t="s">
        <v>68</v>
      </c>
      <c r="H59" s="184" t="s">
        <v>66</v>
      </c>
      <c r="I59" s="182" t="s">
        <v>132</v>
      </c>
      <c r="J59" s="184" t="s">
        <v>77</v>
      </c>
      <c r="K59" s="186" t="s">
        <v>118</v>
      </c>
      <c r="L59" s="186" t="s">
        <v>117</v>
      </c>
      <c r="M59" s="188" t="s">
        <v>99</v>
      </c>
      <c r="N59" s="189"/>
      <c r="O59" s="189"/>
      <c r="P59" s="189"/>
      <c r="Q59" s="189"/>
      <c r="R59" s="190" t="s">
        <v>116</v>
      </c>
      <c r="S59" s="190" t="s">
        <v>115</v>
      </c>
      <c r="T59" s="192" t="s">
        <v>114</v>
      </c>
      <c r="U59" s="192" t="s">
        <v>121</v>
      </c>
      <c r="V59" s="192" t="s">
        <v>122</v>
      </c>
    </row>
    <row r="60" spans="1:22" s="13" customFormat="1" ht="78" customHeight="1">
      <c r="A60" s="179"/>
      <c r="B60" s="181"/>
      <c r="C60" s="8" t="s">
        <v>3</v>
      </c>
      <c r="D60" s="8" t="s">
        <v>6</v>
      </c>
      <c r="E60" s="183"/>
      <c r="F60" s="183"/>
      <c r="G60" s="185"/>
      <c r="H60" s="185"/>
      <c r="I60" s="183"/>
      <c r="J60" s="185"/>
      <c r="K60" s="187"/>
      <c r="L60" s="187"/>
      <c r="M60" s="63" t="s">
        <v>101</v>
      </c>
      <c r="N60" s="62" t="s">
        <v>102</v>
      </c>
      <c r="O60" s="62" t="s">
        <v>103</v>
      </c>
      <c r="P60" s="64" t="s">
        <v>104</v>
      </c>
      <c r="Q60" s="64" t="s">
        <v>105</v>
      </c>
      <c r="R60" s="191"/>
      <c r="S60" s="191"/>
      <c r="T60" s="188"/>
      <c r="U60" s="188"/>
      <c r="V60" s="188"/>
    </row>
    <row r="61" spans="1:22" ht="12.75">
      <c r="A61" s="16">
        <v>578</v>
      </c>
      <c r="B61" s="3" t="s">
        <v>10</v>
      </c>
      <c r="C61" s="39">
        <v>800</v>
      </c>
      <c r="D61" s="39">
        <v>200</v>
      </c>
      <c r="E61" s="11">
        <f aca="true" t="shared" si="44" ref="E61:F65">C61*$D$168</f>
        <v>817.4480000000001</v>
      </c>
      <c r="F61" s="11">
        <f t="shared" si="44"/>
        <v>204.36200000000002</v>
      </c>
      <c r="G61" s="37">
        <f>F61+E61</f>
        <v>1021.8100000000002</v>
      </c>
      <c r="H61" s="47">
        <f>G61*0.1</f>
        <v>102.18100000000003</v>
      </c>
      <c r="I61" s="11">
        <f>$D$10</f>
        <v>475</v>
      </c>
      <c r="J61" s="47">
        <v>0</v>
      </c>
      <c r="K61" s="14">
        <f>IF((G61+H61+I61+J61)-((G61+H61+I61+J61)*0.235)&lt;$D$11,($D$11-((G61+H61+I61+J61)-((G61+H61+I61+J61)*0.235)))/0.765,0)</f>
        <v>668.9828562091502</v>
      </c>
      <c r="L61" s="14">
        <f>SUM(G61:K61)</f>
        <v>2267.9738562091507</v>
      </c>
      <c r="M61" s="52">
        <f>$L61*11%</f>
        <v>249.47712418300657</v>
      </c>
      <c r="N61" s="47">
        <f aca="true" t="shared" si="45" ref="N61:O65">$L61*3%</f>
        <v>68.03921568627452</v>
      </c>
      <c r="O61" s="47">
        <f t="shared" si="45"/>
        <v>68.03921568627452</v>
      </c>
      <c r="P61" s="47">
        <f>$L61*2%</f>
        <v>45.359477124183016</v>
      </c>
      <c r="Q61" s="14">
        <f>$L61*4.5%</f>
        <v>102.05882352941178</v>
      </c>
      <c r="R61" s="52">
        <f>SUM(N61:Q61)+M61</f>
        <v>532.9738562091504</v>
      </c>
      <c r="S61" s="52">
        <f>(G61+H61+I61)-((G61+H61+I61)*0.235)</f>
        <v>1223.2281150000001</v>
      </c>
      <c r="T61" s="55">
        <f>L61-R61</f>
        <v>1735.0000000000002</v>
      </c>
      <c r="U61" s="89">
        <f>$D$12</f>
        <v>165</v>
      </c>
      <c r="V61" s="95">
        <f>T61+U61</f>
        <v>1900.0000000000002</v>
      </c>
    </row>
    <row r="62" spans="1:22" ht="12.75">
      <c r="A62" s="16">
        <v>854</v>
      </c>
      <c r="B62" s="3" t="s">
        <v>8</v>
      </c>
      <c r="C62" s="39">
        <v>693</v>
      </c>
      <c r="D62" s="39">
        <v>173</v>
      </c>
      <c r="E62" s="11">
        <f t="shared" si="44"/>
        <v>708.1143300000001</v>
      </c>
      <c r="F62" s="11">
        <f t="shared" si="44"/>
        <v>176.77313</v>
      </c>
      <c r="G62" s="37">
        <f>F62+E62</f>
        <v>884.8874600000001</v>
      </c>
      <c r="H62" s="47">
        <f>G62*0.1</f>
        <v>88.48874600000002</v>
      </c>
      <c r="I62" s="11">
        <f>$D$10</f>
        <v>475</v>
      </c>
      <c r="J62" s="47">
        <v>0</v>
      </c>
      <c r="K62" s="14">
        <f>IF((G62+H62+I62+J62)-((G62+H62+I62+J62)*0.235)&lt;$D$11,($D$11-((G62+H62+I62+J62)-((G62+H62+I62+J62)*0.235)))/0.765,0)</f>
        <v>819.5976502091502</v>
      </c>
      <c r="L62" s="14">
        <f>SUM(G62:K62)</f>
        <v>2267.97385620915</v>
      </c>
      <c r="M62" s="52">
        <f>$L62*11%</f>
        <v>249.4771241830065</v>
      </c>
      <c r="N62" s="47">
        <f t="shared" si="45"/>
        <v>68.0392156862745</v>
      </c>
      <c r="O62" s="47">
        <f t="shared" si="45"/>
        <v>68.0392156862745</v>
      </c>
      <c r="P62" s="47">
        <f>$L62*2%</f>
        <v>45.359477124183</v>
      </c>
      <c r="Q62" s="14">
        <f>$L62*4.5%</f>
        <v>102.05882352941175</v>
      </c>
      <c r="R62" s="52">
        <f>SUM(N62:Q62)+M62</f>
        <v>532.9738562091503</v>
      </c>
      <c r="S62" s="52">
        <f>(G62+H62+I62)-((G62+H62+I62)*0.235)</f>
        <v>1108.00779759</v>
      </c>
      <c r="T62" s="55">
        <f>L62-R62</f>
        <v>1735</v>
      </c>
      <c r="U62" s="89">
        <f>$D$12</f>
        <v>165</v>
      </c>
      <c r="V62" s="95">
        <f>T62+U62</f>
        <v>1900</v>
      </c>
    </row>
    <row r="63" spans="1:22" ht="12.75">
      <c r="A63" s="16">
        <v>577</v>
      </c>
      <c r="B63" s="3" t="s">
        <v>18</v>
      </c>
      <c r="C63" s="39">
        <v>603</v>
      </c>
      <c r="D63" s="39">
        <v>132</v>
      </c>
      <c r="E63" s="11">
        <f t="shared" si="44"/>
        <v>616.1514300000001</v>
      </c>
      <c r="F63" s="11">
        <f t="shared" si="44"/>
        <v>134.87892000000002</v>
      </c>
      <c r="G63" s="37">
        <f>F63+E63</f>
        <v>751.0303500000001</v>
      </c>
      <c r="H63" s="47">
        <f>G63*0.1</f>
        <v>75.10303500000002</v>
      </c>
      <c r="I63" s="11">
        <f>$D$10</f>
        <v>475</v>
      </c>
      <c r="J63" s="47">
        <v>0</v>
      </c>
      <c r="K63" s="14">
        <f>IF((G63+H63+I63+J63)-((G63+H63+I63+J63)*0.235)&lt;$D$11,($D$11-((G63+H63+I63+J63)-((G63+H63+I63+J63)*0.235)))/0.765,0)</f>
        <v>966.8404712091502</v>
      </c>
      <c r="L63" s="14">
        <f>SUM(G63:K63)</f>
        <v>2267.97385620915</v>
      </c>
      <c r="M63" s="52">
        <f>$L63*11%</f>
        <v>249.4771241830065</v>
      </c>
      <c r="N63" s="47">
        <f t="shared" si="45"/>
        <v>68.0392156862745</v>
      </c>
      <c r="O63" s="47">
        <f t="shared" si="45"/>
        <v>68.0392156862745</v>
      </c>
      <c r="P63" s="47">
        <f>$L63*2%</f>
        <v>45.359477124183</v>
      </c>
      <c r="Q63" s="14">
        <f>$L63*4.5%</f>
        <v>102.05882352941175</v>
      </c>
      <c r="R63" s="52">
        <f>SUM(N63:Q63)+M63</f>
        <v>532.9738562091503</v>
      </c>
      <c r="S63" s="52">
        <f>(G63+H63+I63)-((G63+H63+I63)*0.235)</f>
        <v>995.3670395250001</v>
      </c>
      <c r="T63" s="55">
        <f>L63-R63</f>
        <v>1735</v>
      </c>
      <c r="U63" s="89">
        <f>$D$12</f>
        <v>165</v>
      </c>
      <c r="V63" s="95">
        <f>T63+U63</f>
        <v>1900</v>
      </c>
    </row>
    <row r="64" spans="1:22" ht="12.75">
      <c r="A64" s="16">
        <v>559</v>
      </c>
      <c r="B64" s="3" t="s">
        <v>19</v>
      </c>
      <c r="C64" s="39">
        <v>470</v>
      </c>
      <c r="D64" s="39">
        <v>80</v>
      </c>
      <c r="E64" s="11">
        <f t="shared" si="44"/>
        <v>480.25070000000005</v>
      </c>
      <c r="F64" s="11">
        <f t="shared" si="44"/>
        <v>81.74480000000001</v>
      </c>
      <c r="G64" s="37">
        <f>F64+E64</f>
        <v>561.9955000000001</v>
      </c>
      <c r="H64" s="47">
        <f>G64*0.1</f>
        <v>56.199550000000016</v>
      </c>
      <c r="I64" s="11">
        <f>$D$10</f>
        <v>475</v>
      </c>
      <c r="J64" s="47">
        <v>0</v>
      </c>
      <c r="K64" s="14">
        <f>IF((G64+H64+I64+J64)-((G64+H64+I64+J64)*0.235)&lt;$D$11,($D$11-((G64+H64+I64+J64)-((G64+H64+I64+J64)*0.235)))/0.765,0)</f>
        <v>1174.77880620915</v>
      </c>
      <c r="L64" s="14">
        <f>SUM(G64:K64)</f>
        <v>2267.97385620915</v>
      </c>
      <c r="M64" s="52">
        <f>$L64*11%</f>
        <v>249.4771241830065</v>
      </c>
      <c r="N64" s="47">
        <f t="shared" si="45"/>
        <v>68.0392156862745</v>
      </c>
      <c r="O64" s="47">
        <f t="shared" si="45"/>
        <v>68.0392156862745</v>
      </c>
      <c r="P64" s="47">
        <f>$L64*2%</f>
        <v>45.359477124183</v>
      </c>
      <c r="Q64" s="14">
        <f>$L64*4.5%</f>
        <v>102.05882352941175</v>
      </c>
      <c r="R64" s="52">
        <f>SUM(N64:Q64)+M64</f>
        <v>532.9738562091503</v>
      </c>
      <c r="S64" s="52">
        <f>(G64+H64+I64)-((G64+H64+I64)*0.235)</f>
        <v>836.2942132500002</v>
      </c>
      <c r="T64" s="55">
        <f>L64-R64</f>
        <v>1735</v>
      </c>
      <c r="U64" s="89">
        <f>$D$12</f>
        <v>165</v>
      </c>
      <c r="V64" s="95">
        <f>T64+U64</f>
        <v>1900</v>
      </c>
    </row>
    <row r="65" spans="1:22" ht="13.5" thickBot="1">
      <c r="A65" s="17">
        <v>5568</v>
      </c>
      <c r="B65" s="6" t="s">
        <v>15</v>
      </c>
      <c r="C65" s="40">
        <v>47</v>
      </c>
      <c r="D65" s="40">
        <v>8</v>
      </c>
      <c r="E65" s="12">
        <f t="shared" si="44"/>
        <v>48.02507000000001</v>
      </c>
      <c r="F65" s="12">
        <f t="shared" si="44"/>
        <v>8.17448</v>
      </c>
      <c r="G65" s="38">
        <f>F65+E65</f>
        <v>56.19955000000001</v>
      </c>
      <c r="H65" s="48">
        <f>G65*0.1</f>
        <v>5.619955000000001</v>
      </c>
      <c r="I65" s="11">
        <f>$D$10/17</f>
        <v>27.941176470588236</v>
      </c>
      <c r="J65" s="48">
        <v>0</v>
      </c>
      <c r="K65" s="14">
        <f>IF((G65+H65+I65+J65)-((G65+H65+I65+J65)*0.235)&lt;$D$11/15,($D$11/15-((G65+H65+I65+J65)-((G65+H65+I65+J65)*0.235)))/0.765,0)</f>
        <v>61.43757561002179</v>
      </c>
      <c r="L65" s="14">
        <f>SUM(G65:K65)</f>
        <v>151.19825708061003</v>
      </c>
      <c r="M65" s="53">
        <f>$L65*11%</f>
        <v>16.631808278867105</v>
      </c>
      <c r="N65" s="48">
        <f t="shared" si="45"/>
        <v>4.5359477124183005</v>
      </c>
      <c r="O65" s="48">
        <f t="shared" si="45"/>
        <v>4.5359477124183005</v>
      </c>
      <c r="P65" s="48">
        <f>$L65*2%</f>
        <v>3.0239651416122006</v>
      </c>
      <c r="Q65" s="15">
        <f>$L65*4.5%</f>
        <v>6.803921568627452</v>
      </c>
      <c r="R65" s="53">
        <f>SUM(N65:Q65)+M65</f>
        <v>35.53159041394336</v>
      </c>
      <c r="S65" s="52">
        <f>(G65+H65+I65)-((G65+H65+I65)*0.235)</f>
        <v>68.666921325</v>
      </c>
      <c r="T65" s="55">
        <f>L65-R65</f>
        <v>115.66666666666667</v>
      </c>
      <c r="U65" s="89">
        <f>$D$12/15</f>
        <v>11</v>
      </c>
      <c r="V65" s="95">
        <f>T65+U65</f>
        <v>126.66666666666667</v>
      </c>
    </row>
    <row r="66" ht="13.5" thickBot="1"/>
    <row r="67" spans="1:22" ht="20.25">
      <c r="A67" s="195" t="s">
        <v>63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83"/>
      <c r="V67" s="84"/>
    </row>
    <row r="68" spans="1:22" s="13" customFormat="1" ht="12.75" customHeight="1">
      <c r="A68" s="178" t="s">
        <v>1</v>
      </c>
      <c r="B68" s="180" t="s">
        <v>0</v>
      </c>
      <c r="C68" s="180" t="s">
        <v>2</v>
      </c>
      <c r="D68" s="180"/>
      <c r="E68" s="182" t="s">
        <v>61</v>
      </c>
      <c r="F68" s="182" t="s">
        <v>62</v>
      </c>
      <c r="G68" s="184" t="s">
        <v>68</v>
      </c>
      <c r="H68" s="184" t="s">
        <v>66</v>
      </c>
      <c r="I68" s="182" t="s">
        <v>132</v>
      </c>
      <c r="J68" s="184" t="s">
        <v>77</v>
      </c>
      <c r="K68" s="186" t="s">
        <v>118</v>
      </c>
      <c r="L68" s="186" t="s">
        <v>117</v>
      </c>
      <c r="M68" s="188" t="s">
        <v>99</v>
      </c>
      <c r="N68" s="189"/>
      <c r="O68" s="189"/>
      <c r="P68" s="189"/>
      <c r="Q68" s="189"/>
      <c r="R68" s="190" t="s">
        <v>116</v>
      </c>
      <c r="S68" s="190" t="s">
        <v>115</v>
      </c>
      <c r="T68" s="192" t="s">
        <v>114</v>
      </c>
      <c r="U68" s="192" t="s">
        <v>121</v>
      </c>
      <c r="V68" s="192" t="s">
        <v>122</v>
      </c>
    </row>
    <row r="69" spans="1:22" s="13" customFormat="1" ht="78" customHeight="1">
      <c r="A69" s="179"/>
      <c r="B69" s="181"/>
      <c r="C69" s="8" t="s">
        <v>3</v>
      </c>
      <c r="D69" s="8" t="s">
        <v>6</v>
      </c>
      <c r="E69" s="183"/>
      <c r="F69" s="183"/>
      <c r="G69" s="185"/>
      <c r="H69" s="185"/>
      <c r="I69" s="183"/>
      <c r="J69" s="185"/>
      <c r="K69" s="187"/>
      <c r="L69" s="187"/>
      <c r="M69" s="63" t="s">
        <v>101</v>
      </c>
      <c r="N69" s="62" t="s">
        <v>102</v>
      </c>
      <c r="O69" s="62" t="s">
        <v>103</v>
      </c>
      <c r="P69" s="64" t="s">
        <v>104</v>
      </c>
      <c r="Q69" s="64" t="s">
        <v>105</v>
      </c>
      <c r="R69" s="191"/>
      <c r="S69" s="191"/>
      <c r="T69" s="188"/>
      <c r="U69" s="188"/>
      <c r="V69" s="188"/>
    </row>
    <row r="70" spans="1:22" ht="12.75">
      <c r="A70" s="16">
        <v>505</v>
      </c>
      <c r="B70" s="3" t="s">
        <v>69</v>
      </c>
      <c r="C70" s="39">
        <v>2027</v>
      </c>
      <c r="D70" s="39">
        <v>399</v>
      </c>
      <c r="E70" s="11">
        <f aca="true" t="shared" si="46" ref="E70:F94">C70*$D$168</f>
        <v>2071.2088700000004</v>
      </c>
      <c r="F70" s="11">
        <f t="shared" si="46"/>
        <v>407.70219000000003</v>
      </c>
      <c r="G70" s="37">
        <f aca="true" t="shared" si="47" ref="G70:G94">F70+E70</f>
        <v>2478.9110600000004</v>
      </c>
      <c r="H70" s="47">
        <f aca="true" t="shared" si="48" ref="H70:H94">G70*0.1</f>
        <v>247.89110600000004</v>
      </c>
      <c r="I70" s="11">
        <f>$D$10*2</f>
        <v>950</v>
      </c>
      <c r="J70" s="47">
        <f aca="true" t="shared" si="49" ref="J70:J94">$G70*0.15</f>
        <v>371.83665900000005</v>
      </c>
      <c r="K70" s="14">
        <f aca="true" t="shared" si="50" ref="K70:K86">IF((G70+H70+I70+J70)-((G70+H70+I70+J70)*0.235)&lt;$D$11,($D$11-((G70+H70+I70+J70)-((G70+H70+I70+J70)*0.235)))/0.765,0)</f>
        <v>0</v>
      </c>
      <c r="L70" s="14">
        <f aca="true" t="shared" si="51" ref="L70:L94">SUM(G70:K70)</f>
        <v>4048.6388250000005</v>
      </c>
      <c r="M70" s="52">
        <f aca="true" t="shared" si="52" ref="M70:M94">$L70*11%</f>
        <v>445.35027075000005</v>
      </c>
      <c r="N70" s="47">
        <f aca="true" t="shared" si="53" ref="N70:O94">$L70*3%</f>
        <v>121.45916475000001</v>
      </c>
      <c r="O70" s="47">
        <f t="shared" si="53"/>
        <v>121.45916475000001</v>
      </c>
      <c r="P70" s="47">
        <f aca="true" t="shared" si="54" ref="P70:P94">$L70*2%</f>
        <v>80.97277650000001</v>
      </c>
      <c r="Q70" s="14">
        <f aca="true" t="shared" si="55" ref="Q70:Q94">$L70*4.5%</f>
        <v>182.18874712500002</v>
      </c>
      <c r="R70" s="52">
        <f aca="true" t="shared" si="56" ref="R70:R94">SUM(N70:Q70)+M70</f>
        <v>951.4301238750002</v>
      </c>
      <c r="S70" s="52">
        <f aca="true" t="shared" si="57" ref="S70:S94">(G70+H70+I70+J70)-((G70+H70+I70+J70)*0.235)</f>
        <v>3097.2087011250005</v>
      </c>
      <c r="T70" s="55">
        <f aca="true" t="shared" si="58" ref="T70:T94">L70-R70</f>
        <v>3097.2087011250005</v>
      </c>
      <c r="U70" s="89">
        <v>330</v>
      </c>
      <c r="V70" s="95">
        <f aca="true" t="shared" si="59" ref="V70:V94">T70+U70</f>
        <v>3427.2087011250005</v>
      </c>
    </row>
    <row r="71" spans="1:22" ht="12.75">
      <c r="A71" s="16">
        <v>551</v>
      </c>
      <c r="B71" s="3" t="s">
        <v>70</v>
      </c>
      <c r="C71" s="39">
        <v>1763</v>
      </c>
      <c r="D71" s="39">
        <v>436</v>
      </c>
      <c r="E71" s="11">
        <f t="shared" si="46"/>
        <v>1801.4510300000002</v>
      </c>
      <c r="F71" s="11">
        <f t="shared" si="46"/>
        <v>445.50916000000007</v>
      </c>
      <c r="G71" s="37">
        <f t="shared" si="47"/>
        <v>2246.9601900000002</v>
      </c>
      <c r="H71" s="47">
        <f t="shared" si="48"/>
        <v>224.69601900000004</v>
      </c>
      <c r="I71" s="11">
        <f>$D$10*2</f>
        <v>950</v>
      </c>
      <c r="J71" s="47">
        <f t="shared" si="49"/>
        <v>337.0440285</v>
      </c>
      <c r="K71" s="14">
        <f t="shared" si="50"/>
        <v>0</v>
      </c>
      <c r="L71" s="14">
        <f t="shared" si="51"/>
        <v>3758.7002375</v>
      </c>
      <c r="M71" s="52">
        <f t="shared" si="52"/>
        <v>413.457026125</v>
      </c>
      <c r="N71" s="47">
        <f t="shared" si="53"/>
        <v>112.761007125</v>
      </c>
      <c r="O71" s="47">
        <f t="shared" si="53"/>
        <v>112.761007125</v>
      </c>
      <c r="P71" s="47">
        <f t="shared" si="54"/>
        <v>75.17400475000001</v>
      </c>
      <c r="Q71" s="14">
        <f t="shared" si="55"/>
        <v>169.1415106875</v>
      </c>
      <c r="R71" s="52">
        <f t="shared" si="56"/>
        <v>883.2945558125</v>
      </c>
      <c r="S71" s="52">
        <f t="shared" si="57"/>
        <v>2875.4056816875</v>
      </c>
      <c r="T71" s="55">
        <f t="shared" si="58"/>
        <v>2875.4056816875</v>
      </c>
      <c r="U71" s="89">
        <v>330</v>
      </c>
      <c r="V71" s="95">
        <f t="shared" si="59"/>
        <v>3205.4056816875</v>
      </c>
    </row>
    <row r="72" spans="1:22" ht="12.75">
      <c r="A72" s="16">
        <v>516</v>
      </c>
      <c r="B72" s="3" t="s">
        <v>71</v>
      </c>
      <c r="C72" s="39">
        <v>1145</v>
      </c>
      <c r="D72" s="39">
        <v>285</v>
      </c>
      <c r="E72" s="11">
        <f t="shared" si="46"/>
        <v>1169.9724500000002</v>
      </c>
      <c r="F72" s="11">
        <f t="shared" si="46"/>
        <v>291.21585000000005</v>
      </c>
      <c r="G72" s="37">
        <f t="shared" si="47"/>
        <v>1461.1883000000003</v>
      </c>
      <c r="H72" s="47">
        <f t="shared" si="48"/>
        <v>146.11883000000003</v>
      </c>
      <c r="I72" s="11">
        <f aca="true" t="shared" si="60" ref="I72:I86">$D$10</f>
        <v>475</v>
      </c>
      <c r="J72" s="47">
        <f t="shared" si="49"/>
        <v>219.17824500000003</v>
      </c>
      <c r="K72" s="14">
        <f t="shared" si="50"/>
        <v>0</v>
      </c>
      <c r="L72" s="14">
        <f t="shared" si="51"/>
        <v>2301.485375</v>
      </c>
      <c r="M72" s="52">
        <f t="shared" si="52"/>
        <v>253.16339125000002</v>
      </c>
      <c r="N72" s="47">
        <f t="shared" si="53"/>
        <v>69.04456125</v>
      </c>
      <c r="O72" s="47">
        <f t="shared" si="53"/>
        <v>69.04456125</v>
      </c>
      <c r="P72" s="47">
        <f t="shared" si="54"/>
        <v>46.02970750000001</v>
      </c>
      <c r="Q72" s="14">
        <f t="shared" si="55"/>
        <v>103.56684187500001</v>
      </c>
      <c r="R72" s="52">
        <f t="shared" si="56"/>
        <v>540.849063125</v>
      </c>
      <c r="S72" s="52">
        <f t="shared" si="57"/>
        <v>1760.636311875</v>
      </c>
      <c r="T72" s="55">
        <f t="shared" si="58"/>
        <v>1760.636311875</v>
      </c>
      <c r="U72" s="89">
        <f aca="true" t="shared" si="61" ref="U72:U86">$D$12</f>
        <v>165</v>
      </c>
      <c r="V72" s="95">
        <f t="shared" si="59"/>
        <v>1925.636311875</v>
      </c>
    </row>
    <row r="73" spans="1:22" ht="12.75">
      <c r="A73" s="16">
        <v>576</v>
      </c>
      <c r="B73" s="3" t="s">
        <v>72</v>
      </c>
      <c r="C73" s="39">
        <v>996</v>
      </c>
      <c r="D73" s="39">
        <v>259</v>
      </c>
      <c r="E73" s="11">
        <f t="shared" si="46"/>
        <v>1017.7227600000001</v>
      </c>
      <c r="F73" s="11">
        <f t="shared" si="46"/>
        <v>264.64879</v>
      </c>
      <c r="G73" s="37">
        <f t="shared" si="47"/>
        <v>1282.37155</v>
      </c>
      <c r="H73" s="47">
        <f t="shared" si="48"/>
        <v>128.237155</v>
      </c>
      <c r="I73" s="11">
        <f t="shared" si="60"/>
        <v>475</v>
      </c>
      <c r="J73" s="47">
        <f t="shared" si="49"/>
        <v>192.35573250000002</v>
      </c>
      <c r="K73" s="14">
        <f t="shared" si="50"/>
        <v>190.0094187091502</v>
      </c>
      <c r="L73" s="14">
        <f t="shared" si="51"/>
        <v>2267.9738562091507</v>
      </c>
      <c r="M73" s="52">
        <f t="shared" si="52"/>
        <v>249.47712418300657</v>
      </c>
      <c r="N73" s="47">
        <f t="shared" si="53"/>
        <v>68.03921568627452</v>
      </c>
      <c r="O73" s="47">
        <f t="shared" si="53"/>
        <v>68.03921568627452</v>
      </c>
      <c r="P73" s="47">
        <f t="shared" si="54"/>
        <v>45.359477124183016</v>
      </c>
      <c r="Q73" s="14">
        <f t="shared" si="55"/>
        <v>102.05882352941178</v>
      </c>
      <c r="R73" s="52">
        <f t="shared" si="56"/>
        <v>532.9738562091504</v>
      </c>
      <c r="S73" s="52">
        <f t="shared" si="57"/>
        <v>1589.6427946875</v>
      </c>
      <c r="T73" s="55">
        <f t="shared" si="58"/>
        <v>1735.0000000000002</v>
      </c>
      <c r="U73" s="89">
        <f t="shared" si="61"/>
        <v>165</v>
      </c>
      <c r="V73" s="95">
        <f t="shared" si="59"/>
        <v>1900.0000000000002</v>
      </c>
    </row>
    <row r="74" spans="1:22" ht="12.75">
      <c r="A74" s="16">
        <v>539</v>
      </c>
      <c r="B74" s="3" t="s">
        <v>91</v>
      </c>
      <c r="C74" s="39">
        <v>753</v>
      </c>
      <c r="D74" s="39">
        <v>187</v>
      </c>
      <c r="E74" s="11">
        <f t="shared" si="46"/>
        <v>769.4229300000001</v>
      </c>
      <c r="F74" s="11">
        <f t="shared" si="46"/>
        <v>191.07847</v>
      </c>
      <c r="G74" s="37">
        <f t="shared" si="47"/>
        <v>960.5014000000001</v>
      </c>
      <c r="H74" s="47">
        <f t="shared" si="48"/>
        <v>96.05014000000001</v>
      </c>
      <c r="I74" s="11">
        <f t="shared" si="60"/>
        <v>475</v>
      </c>
      <c r="J74" s="47">
        <f t="shared" si="49"/>
        <v>144.07521</v>
      </c>
      <c r="K74" s="14">
        <f t="shared" si="50"/>
        <v>592.3471062091501</v>
      </c>
      <c r="L74" s="14">
        <f t="shared" si="51"/>
        <v>2267.97385620915</v>
      </c>
      <c r="M74" s="52">
        <f t="shared" si="52"/>
        <v>249.4771241830065</v>
      </c>
      <c r="N74" s="47">
        <f t="shared" si="53"/>
        <v>68.0392156862745</v>
      </c>
      <c r="O74" s="47">
        <f t="shared" si="53"/>
        <v>68.0392156862745</v>
      </c>
      <c r="P74" s="47">
        <f t="shared" si="54"/>
        <v>45.359477124183</v>
      </c>
      <c r="Q74" s="14">
        <f t="shared" si="55"/>
        <v>102.05882352941175</v>
      </c>
      <c r="R74" s="52">
        <f t="shared" si="56"/>
        <v>532.9738562091503</v>
      </c>
      <c r="S74" s="52">
        <f t="shared" si="57"/>
        <v>1281.8544637500001</v>
      </c>
      <c r="T74" s="55">
        <f t="shared" si="58"/>
        <v>1735</v>
      </c>
      <c r="U74" s="89">
        <f t="shared" si="61"/>
        <v>165</v>
      </c>
      <c r="V74" s="95">
        <f t="shared" si="59"/>
        <v>1900</v>
      </c>
    </row>
    <row r="75" spans="1:22" ht="12.75">
      <c r="A75" s="16">
        <v>558</v>
      </c>
      <c r="B75" s="3" t="s">
        <v>8</v>
      </c>
      <c r="C75" s="39">
        <v>866</v>
      </c>
      <c r="D75" s="39">
        <v>214</v>
      </c>
      <c r="E75" s="11">
        <f t="shared" si="46"/>
        <v>884.8874600000001</v>
      </c>
      <c r="F75" s="11">
        <f t="shared" si="46"/>
        <v>218.66734000000002</v>
      </c>
      <c r="G75" s="37">
        <f t="shared" si="47"/>
        <v>1103.5548000000001</v>
      </c>
      <c r="H75" s="47">
        <f t="shared" si="48"/>
        <v>110.35548000000001</v>
      </c>
      <c r="I75" s="11">
        <f t="shared" si="60"/>
        <v>475</v>
      </c>
      <c r="J75" s="47">
        <f t="shared" si="49"/>
        <v>165.53322</v>
      </c>
      <c r="K75" s="14">
        <f t="shared" si="50"/>
        <v>413.5303562091501</v>
      </c>
      <c r="L75" s="14">
        <f t="shared" si="51"/>
        <v>2267.97385620915</v>
      </c>
      <c r="M75" s="52">
        <f t="shared" si="52"/>
        <v>249.4771241830065</v>
      </c>
      <c r="N75" s="47">
        <f t="shared" si="53"/>
        <v>68.0392156862745</v>
      </c>
      <c r="O75" s="47">
        <f t="shared" si="53"/>
        <v>68.0392156862745</v>
      </c>
      <c r="P75" s="47">
        <f t="shared" si="54"/>
        <v>45.359477124183</v>
      </c>
      <c r="Q75" s="14">
        <f t="shared" si="55"/>
        <v>102.05882352941175</v>
      </c>
      <c r="R75" s="52">
        <f t="shared" si="56"/>
        <v>532.9738562091503</v>
      </c>
      <c r="S75" s="52">
        <f t="shared" si="57"/>
        <v>1418.6492775000002</v>
      </c>
      <c r="T75" s="55">
        <f t="shared" si="58"/>
        <v>1735</v>
      </c>
      <c r="U75" s="89">
        <f t="shared" si="61"/>
        <v>165</v>
      </c>
      <c r="V75" s="95">
        <f t="shared" si="59"/>
        <v>1900</v>
      </c>
    </row>
    <row r="76" spans="1:22" ht="12.75">
      <c r="A76" s="16">
        <v>540</v>
      </c>
      <c r="B76" s="3" t="s">
        <v>20</v>
      </c>
      <c r="C76" s="39">
        <v>753</v>
      </c>
      <c r="D76" s="39">
        <v>187</v>
      </c>
      <c r="E76" s="11">
        <f t="shared" si="46"/>
        <v>769.4229300000001</v>
      </c>
      <c r="F76" s="11">
        <f t="shared" si="46"/>
        <v>191.07847</v>
      </c>
      <c r="G76" s="37">
        <f t="shared" si="47"/>
        <v>960.5014000000001</v>
      </c>
      <c r="H76" s="47">
        <f t="shared" si="48"/>
        <v>96.05014000000001</v>
      </c>
      <c r="I76" s="11">
        <f t="shared" si="60"/>
        <v>475</v>
      </c>
      <c r="J76" s="47">
        <f t="shared" si="49"/>
        <v>144.07521</v>
      </c>
      <c r="K76" s="14">
        <f t="shared" si="50"/>
        <v>592.3471062091501</v>
      </c>
      <c r="L76" s="14">
        <f t="shared" si="51"/>
        <v>2267.97385620915</v>
      </c>
      <c r="M76" s="52">
        <f t="shared" si="52"/>
        <v>249.4771241830065</v>
      </c>
      <c r="N76" s="47">
        <f t="shared" si="53"/>
        <v>68.0392156862745</v>
      </c>
      <c r="O76" s="47">
        <f t="shared" si="53"/>
        <v>68.0392156862745</v>
      </c>
      <c r="P76" s="47">
        <f t="shared" si="54"/>
        <v>45.359477124183</v>
      </c>
      <c r="Q76" s="14">
        <f t="shared" si="55"/>
        <v>102.05882352941175</v>
      </c>
      <c r="R76" s="52">
        <f t="shared" si="56"/>
        <v>532.9738562091503</v>
      </c>
      <c r="S76" s="52">
        <f t="shared" si="57"/>
        <v>1281.8544637500001</v>
      </c>
      <c r="T76" s="55">
        <f t="shared" si="58"/>
        <v>1735</v>
      </c>
      <c r="U76" s="89">
        <f t="shared" si="61"/>
        <v>165</v>
      </c>
      <c r="V76" s="95">
        <f t="shared" si="59"/>
        <v>1900</v>
      </c>
    </row>
    <row r="77" spans="1:22" ht="12.75">
      <c r="A77" s="16">
        <v>541</v>
      </c>
      <c r="B77" s="3" t="s">
        <v>21</v>
      </c>
      <c r="C77" s="39">
        <v>753</v>
      </c>
      <c r="D77" s="39">
        <v>187</v>
      </c>
      <c r="E77" s="11">
        <f t="shared" si="46"/>
        <v>769.4229300000001</v>
      </c>
      <c r="F77" s="11">
        <f t="shared" si="46"/>
        <v>191.07847</v>
      </c>
      <c r="G77" s="37">
        <f t="shared" si="47"/>
        <v>960.5014000000001</v>
      </c>
      <c r="H77" s="47">
        <f t="shared" si="48"/>
        <v>96.05014000000001</v>
      </c>
      <c r="I77" s="11">
        <f t="shared" si="60"/>
        <v>475</v>
      </c>
      <c r="J77" s="47">
        <f t="shared" si="49"/>
        <v>144.07521</v>
      </c>
      <c r="K77" s="14">
        <f t="shared" si="50"/>
        <v>592.3471062091501</v>
      </c>
      <c r="L77" s="14">
        <f t="shared" si="51"/>
        <v>2267.97385620915</v>
      </c>
      <c r="M77" s="52">
        <f t="shared" si="52"/>
        <v>249.4771241830065</v>
      </c>
      <c r="N77" s="47">
        <f t="shared" si="53"/>
        <v>68.0392156862745</v>
      </c>
      <c r="O77" s="47">
        <f t="shared" si="53"/>
        <v>68.0392156862745</v>
      </c>
      <c r="P77" s="47">
        <f t="shared" si="54"/>
        <v>45.359477124183</v>
      </c>
      <c r="Q77" s="14">
        <f t="shared" si="55"/>
        <v>102.05882352941175</v>
      </c>
      <c r="R77" s="52">
        <f t="shared" si="56"/>
        <v>532.9738562091503</v>
      </c>
      <c r="S77" s="52">
        <f t="shared" si="57"/>
        <v>1281.8544637500001</v>
      </c>
      <c r="T77" s="55">
        <f t="shared" si="58"/>
        <v>1735</v>
      </c>
      <c r="U77" s="89">
        <f t="shared" si="61"/>
        <v>165</v>
      </c>
      <c r="V77" s="95">
        <f t="shared" si="59"/>
        <v>1900</v>
      </c>
    </row>
    <row r="78" spans="1:22" ht="12.75">
      <c r="A78" s="16">
        <v>850</v>
      </c>
      <c r="B78" s="3" t="s">
        <v>22</v>
      </c>
      <c r="C78" s="39">
        <v>753</v>
      </c>
      <c r="D78" s="39">
        <v>187</v>
      </c>
      <c r="E78" s="11">
        <f t="shared" si="46"/>
        <v>769.4229300000001</v>
      </c>
      <c r="F78" s="11">
        <f t="shared" si="46"/>
        <v>191.07847</v>
      </c>
      <c r="G78" s="37">
        <f t="shared" si="47"/>
        <v>960.5014000000001</v>
      </c>
      <c r="H78" s="47">
        <f t="shared" si="48"/>
        <v>96.05014000000001</v>
      </c>
      <c r="I78" s="11">
        <f t="shared" si="60"/>
        <v>475</v>
      </c>
      <c r="J78" s="47">
        <f t="shared" si="49"/>
        <v>144.07521</v>
      </c>
      <c r="K78" s="14">
        <f t="shared" si="50"/>
        <v>592.3471062091501</v>
      </c>
      <c r="L78" s="14">
        <f t="shared" si="51"/>
        <v>2267.97385620915</v>
      </c>
      <c r="M78" s="52">
        <f t="shared" si="52"/>
        <v>249.4771241830065</v>
      </c>
      <c r="N78" s="47">
        <f t="shared" si="53"/>
        <v>68.0392156862745</v>
      </c>
      <c r="O78" s="47">
        <f t="shared" si="53"/>
        <v>68.0392156862745</v>
      </c>
      <c r="P78" s="47">
        <f t="shared" si="54"/>
        <v>45.359477124183</v>
      </c>
      <c r="Q78" s="14">
        <f t="shared" si="55"/>
        <v>102.05882352941175</v>
      </c>
      <c r="R78" s="52">
        <f t="shared" si="56"/>
        <v>532.9738562091503</v>
      </c>
      <c r="S78" s="52">
        <f t="shared" si="57"/>
        <v>1281.8544637500001</v>
      </c>
      <c r="T78" s="55">
        <f t="shared" si="58"/>
        <v>1735</v>
      </c>
      <c r="U78" s="89">
        <f t="shared" si="61"/>
        <v>165</v>
      </c>
      <c r="V78" s="95">
        <f t="shared" si="59"/>
        <v>1900</v>
      </c>
    </row>
    <row r="79" spans="1:22" ht="12.75">
      <c r="A79" s="16">
        <v>852</v>
      </c>
      <c r="B79" s="3" t="s">
        <v>129</v>
      </c>
      <c r="C79" s="39">
        <v>753</v>
      </c>
      <c r="D79" s="39">
        <v>187</v>
      </c>
      <c r="E79" s="11">
        <f>C79*$D$168</f>
        <v>769.4229300000001</v>
      </c>
      <c r="F79" s="11">
        <f>D79*$D$168</f>
        <v>191.07847</v>
      </c>
      <c r="G79" s="37">
        <f>F79+E79</f>
        <v>960.5014000000001</v>
      </c>
      <c r="H79" s="47">
        <f t="shared" si="48"/>
        <v>96.05014000000001</v>
      </c>
      <c r="I79" s="11">
        <f t="shared" si="60"/>
        <v>475</v>
      </c>
      <c r="J79" s="47">
        <f t="shared" si="49"/>
        <v>144.07521</v>
      </c>
      <c r="K79" s="14">
        <f>IF((G79+H79+I79+J79)-((G79+H79+I79+J79)*0.235)&lt;$D$11,($D$11-((G79+H79+I79+J79)-((G79+H79+I79+J79)*0.235)))/0.765,0)</f>
        <v>592.3471062091501</v>
      </c>
      <c r="L79" s="14">
        <f>SUM(G79:K79)</f>
        <v>2267.97385620915</v>
      </c>
      <c r="M79" s="52">
        <f t="shared" si="52"/>
        <v>249.4771241830065</v>
      </c>
      <c r="N79" s="47">
        <f t="shared" si="53"/>
        <v>68.0392156862745</v>
      </c>
      <c r="O79" s="47">
        <f t="shared" si="53"/>
        <v>68.0392156862745</v>
      </c>
      <c r="P79" s="47">
        <f t="shared" si="54"/>
        <v>45.359477124183</v>
      </c>
      <c r="Q79" s="14">
        <f t="shared" si="55"/>
        <v>102.05882352941175</v>
      </c>
      <c r="R79" s="52">
        <f>SUM(N79:Q79)+M79</f>
        <v>532.9738562091503</v>
      </c>
      <c r="S79" s="52">
        <f>(G79+H79+I79+J79)-((G79+H79+I79+J79)*0.235)</f>
        <v>1281.8544637500001</v>
      </c>
      <c r="T79" s="55">
        <f>L79-R79</f>
        <v>1735</v>
      </c>
      <c r="U79" s="89">
        <f t="shared" si="61"/>
        <v>165</v>
      </c>
      <c r="V79" s="95">
        <f>T79+U79</f>
        <v>1900</v>
      </c>
    </row>
    <row r="80" spans="1:22" ht="12.75">
      <c r="A80" s="16">
        <v>546</v>
      </c>
      <c r="B80" s="3" t="s">
        <v>23</v>
      </c>
      <c r="C80" s="39">
        <v>753</v>
      </c>
      <c r="D80" s="39">
        <v>187</v>
      </c>
      <c r="E80" s="11">
        <f t="shared" si="46"/>
        <v>769.4229300000001</v>
      </c>
      <c r="F80" s="11">
        <f t="shared" si="46"/>
        <v>191.07847</v>
      </c>
      <c r="G80" s="37">
        <f t="shared" si="47"/>
        <v>960.5014000000001</v>
      </c>
      <c r="H80" s="47">
        <f t="shared" si="48"/>
        <v>96.05014000000001</v>
      </c>
      <c r="I80" s="11">
        <f t="shared" si="60"/>
        <v>475</v>
      </c>
      <c r="J80" s="47">
        <f t="shared" si="49"/>
        <v>144.07521</v>
      </c>
      <c r="K80" s="14">
        <f t="shared" si="50"/>
        <v>592.3471062091501</v>
      </c>
      <c r="L80" s="14">
        <f t="shared" si="51"/>
        <v>2267.97385620915</v>
      </c>
      <c r="M80" s="52">
        <f t="shared" si="52"/>
        <v>249.4771241830065</v>
      </c>
      <c r="N80" s="47">
        <f t="shared" si="53"/>
        <v>68.0392156862745</v>
      </c>
      <c r="O80" s="47">
        <f t="shared" si="53"/>
        <v>68.0392156862745</v>
      </c>
      <c r="P80" s="47">
        <f t="shared" si="54"/>
        <v>45.359477124183</v>
      </c>
      <c r="Q80" s="14">
        <f t="shared" si="55"/>
        <v>102.05882352941175</v>
      </c>
      <c r="R80" s="52">
        <f t="shared" si="56"/>
        <v>532.9738562091503</v>
      </c>
      <c r="S80" s="52">
        <f t="shared" si="57"/>
        <v>1281.8544637500001</v>
      </c>
      <c r="T80" s="55">
        <f t="shared" si="58"/>
        <v>1735</v>
      </c>
      <c r="U80" s="89">
        <f t="shared" si="61"/>
        <v>165</v>
      </c>
      <c r="V80" s="95">
        <f t="shared" si="59"/>
        <v>1900</v>
      </c>
    </row>
    <row r="81" spans="1:22" ht="12.75">
      <c r="A81" s="16">
        <v>571</v>
      </c>
      <c r="B81" s="3" t="s">
        <v>130</v>
      </c>
      <c r="C81" s="39">
        <v>753</v>
      </c>
      <c r="D81" s="39">
        <v>187</v>
      </c>
      <c r="E81" s="11">
        <f>C81*$D$168</f>
        <v>769.4229300000001</v>
      </c>
      <c r="F81" s="11">
        <f>D81*$D$168</f>
        <v>191.07847</v>
      </c>
      <c r="G81" s="37">
        <f>F81+E81</f>
        <v>960.5014000000001</v>
      </c>
      <c r="H81" s="47">
        <f t="shared" si="48"/>
        <v>96.05014000000001</v>
      </c>
      <c r="I81" s="11">
        <f t="shared" si="60"/>
        <v>475</v>
      </c>
      <c r="J81" s="47">
        <f t="shared" si="49"/>
        <v>144.07521</v>
      </c>
      <c r="K81" s="14">
        <f>IF((G81+H81+I81+J81)-((G81+H81+I81+J81)*0.235)&lt;$D$11,($D$11-((G81+H81+I81+J81)-((G81+H81+I81+J81)*0.235)))/0.765,0)</f>
        <v>592.3471062091501</v>
      </c>
      <c r="L81" s="14">
        <f>SUM(G81:K81)</f>
        <v>2267.97385620915</v>
      </c>
      <c r="M81" s="52">
        <f t="shared" si="52"/>
        <v>249.4771241830065</v>
      </c>
      <c r="N81" s="47">
        <f t="shared" si="53"/>
        <v>68.0392156862745</v>
      </c>
      <c r="O81" s="47">
        <f t="shared" si="53"/>
        <v>68.0392156862745</v>
      </c>
      <c r="P81" s="47">
        <f t="shared" si="54"/>
        <v>45.359477124183</v>
      </c>
      <c r="Q81" s="14">
        <f t="shared" si="55"/>
        <v>102.05882352941175</v>
      </c>
      <c r="R81" s="52">
        <f>SUM(N81:Q81)+M81</f>
        <v>532.9738562091503</v>
      </c>
      <c r="S81" s="52">
        <f>(G81+H81+I81+J81)-((G81+H81+I81+J81)*0.235)</f>
        <v>1281.8544637500001</v>
      </c>
      <c r="T81" s="55">
        <f>L81-R81</f>
        <v>1735</v>
      </c>
      <c r="U81" s="89">
        <f t="shared" si="61"/>
        <v>165</v>
      </c>
      <c r="V81" s="95">
        <f>T81+U81</f>
        <v>1900</v>
      </c>
    </row>
    <row r="82" spans="1:22" ht="12.75">
      <c r="A82" s="16">
        <v>582</v>
      </c>
      <c r="B82" s="3" t="s">
        <v>128</v>
      </c>
      <c r="C82" s="39">
        <v>704</v>
      </c>
      <c r="D82" s="39">
        <v>166</v>
      </c>
      <c r="E82" s="11">
        <f t="shared" si="46"/>
        <v>719.3542400000001</v>
      </c>
      <c r="F82" s="11">
        <f t="shared" si="46"/>
        <v>169.62046</v>
      </c>
      <c r="G82" s="37">
        <f t="shared" si="47"/>
        <v>888.9747000000001</v>
      </c>
      <c r="H82" s="47">
        <f t="shared" si="48"/>
        <v>88.89747000000001</v>
      </c>
      <c r="I82" s="11">
        <f t="shared" si="60"/>
        <v>475</v>
      </c>
      <c r="J82" s="47">
        <f t="shared" si="49"/>
        <v>133.346205</v>
      </c>
      <c r="K82" s="14">
        <f t="shared" si="50"/>
        <v>681.7554812091503</v>
      </c>
      <c r="L82" s="14">
        <f t="shared" si="51"/>
        <v>2267.9738562091507</v>
      </c>
      <c r="M82" s="52">
        <f t="shared" si="52"/>
        <v>249.47712418300657</v>
      </c>
      <c r="N82" s="47">
        <f t="shared" si="53"/>
        <v>68.03921568627452</v>
      </c>
      <c r="O82" s="47">
        <f t="shared" si="53"/>
        <v>68.03921568627452</v>
      </c>
      <c r="P82" s="47">
        <f t="shared" si="54"/>
        <v>45.359477124183016</v>
      </c>
      <c r="Q82" s="14">
        <f t="shared" si="55"/>
        <v>102.05882352941178</v>
      </c>
      <c r="R82" s="52">
        <f t="shared" si="56"/>
        <v>532.9738562091504</v>
      </c>
      <c r="S82" s="52">
        <f t="shared" si="57"/>
        <v>1213.457056875</v>
      </c>
      <c r="T82" s="55">
        <f t="shared" si="58"/>
        <v>1735.0000000000002</v>
      </c>
      <c r="U82" s="89">
        <f t="shared" si="61"/>
        <v>165</v>
      </c>
      <c r="V82" s="95">
        <f t="shared" si="59"/>
        <v>1900.0000000000002</v>
      </c>
    </row>
    <row r="83" spans="1:22" ht="12.75">
      <c r="A83" s="16">
        <v>583</v>
      </c>
      <c r="B83" s="3" t="s">
        <v>127</v>
      </c>
      <c r="C83" s="39">
        <v>704</v>
      </c>
      <c r="D83" s="39">
        <v>166</v>
      </c>
      <c r="E83" s="11">
        <f>C83*$D$168</f>
        <v>719.3542400000001</v>
      </c>
      <c r="F83" s="11">
        <f>D83*$D$168</f>
        <v>169.62046</v>
      </c>
      <c r="G83" s="37">
        <f>F83+E83</f>
        <v>888.9747000000001</v>
      </c>
      <c r="H83" s="47">
        <f t="shared" si="48"/>
        <v>88.89747000000001</v>
      </c>
      <c r="I83" s="11">
        <f t="shared" si="60"/>
        <v>475</v>
      </c>
      <c r="J83" s="47">
        <f t="shared" si="49"/>
        <v>133.346205</v>
      </c>
      <c r="K83" s="14">
        <f>IF((G83+H83+I83+J83)-((G83+H83+I83+J83)*0.235)&lt;$D$11,($D$11-((G83+H83+I83+J83)-((G83+H83+I83+J83)*0.235)))/0.765,0)</f>
        <v>681.7554812091503</v>
      </c>
      <c r="L83" s="14">
        <f>SUM(G83:K83)</f>
        <v>2267.9738562091507</v>
      </c>
      <c r="M83" s="52">
        <f t="shared" si="52"/>
        <v>249.47712418300657</v>
      </c>
      <c r="N83" s="47">
        <f t="shared" si="53"/>
        <v>68.03921568627452</v>
      </c>
      <c r="O83" s="47">
        <f t="shared" si="53"/>
        <v>68.03921568627452</v>
      </c>
      <c r="P83" s="47">
        <f t="shared" si="54"/>
        <v>45.359477124183016</v>
      </c>
      <c r="Q83" s="14">
        <f t="shared" si="55"/>
        <v>102.05882352941178</v>
      </c>
      <c r="R83" s="52">
        <f>SUM(N83:Q83)+M83</f>
        <v>532.9738562091504</v>
      </c>
      <c r="S83" s="52">
        <f>(G83+H83+I83+J83)-((G83+H83+I83+J83)*0.235)</f>
        <v>1213.457056875</v>
      </c>
      <c r="T83" s="55">
        <f>L83-R83</f>
        <v>1735.0000000000002</v>
      </c>
      <c r="U83" s="89">
        <f t="shared" si="61"/>
        <v>165</v>
      </c>
      <c r="V83" s="95">
        <f>T83+U83</f>
        <v>1900.0000000000002</v>
      </c>
    </row>
    <row r="84" spans="1:22" ht="12.75">
      <c r="A84" s="16">
        <v>554</v>
      </c>
      <c r="B84" s="3" t="s">
        <v>25</v>
      </c>
      <c r="C84" s="39">
        <v>658</v>
      </c>
      <c r="D84" s="39">
        <v>62</v>
      </c>
      <c r="E84" s="11">
        <f t="shared" si="46"/>
        <v>672.35098</v>
      </c>
      <c r="F84" s="11">
        <f t="shared" si="46"/>
        <v>63.35222000000001</v>
      </c>
      <c r="G84" s="37">
        <f t="shared" si="47"/>
        <v>735.7032</v>
      </c>
      <c r="H84" s="47">
        <f t="shared" si="48"/>
        <v>73.57032000000001</v>
      </c>
      <c r="I84" s="11">
        <f t="shared" si="60"/>
        <v>475</v>
      </c>
      <c r="J84" s="47">
        <f t="shared" si="49"/>
        <v>110.35548</v>
      </c>
      <c r="K84" s="14">
        <f t="shared" si="50"/>
        <v>873.3448562091501</v>
      </c>
      <c r="L84" s="14">
        <f t="shared" si="51"/>
        <v>2267.97385620915</v>
      </c>
      <c r="M84" s="52">
        <f t="shared" si="52"/>
        <v>249.4771241830065</v>
      </c>
      <c r="N84" s="47">
        <f t="shared" si="53"/>
        <v>68.0392156862745</v>
      </c>
      <c r="O84" s="47">
        <f t="shared" si="53"/>
        <v>68.0392156862745</v>
      </c>
      <c r="P84" s="47">
        <f t="shared" si="54"/>
        <v>45.359477124183</v>
      </c>
      <c r="Q84" s="14">
        <f t="shared" si="55"/>
        <v>102.05882352941175</v>
      </c>
      <c r="R84" s="52">
        <f t="shared" si="56"/>
        <v>532.9738562091503</v>
      </c>
      <c r="S84" s="52">
        <f t="shared" si="57"/>
        <v>1066.8911850000002</v>
      </c>
      <c r="T84" s="55">
        <f t="shared" si="58"/>
        <v>1735</v>
      </c>
      <c r="U84" s="89">
        <f t="shared" si="61"/>
        <v>165</v>
      </c>
      <c r="V84" s="95">
        <f t="shared" si="59"/>
        <v>1900</v>
      </c>
    </row>
    <row r="85" spans="1:22" ht="12.75">
      <c r="A85" s="16">
        <v>536</v>
      </c>
      <c r="B85" s="3" t="s">
        <v>31</v>
      </c>
      <c r="C85" s="39">
        <v>753</v>
      </c>
      <c r="D85" s="39">
        <v>187</v>
      </c>
      <c r="E85" s="11">
        <f t="shared" si="46"/>
        <v>769.4229300000001</v>
      </c>
      <c r="F85" s="11">
        <f t="shared" si="46"/>
        <v>191.07847</v>
      </c>
      <c r="G85" s="37">
        <f t="shared" si="47"/>
        <v>960.5014000000001</v>
      </c>
      <c r="H85" s="47">
        <f t="shared" si="48"/>
        <v>96.05014000000001</v>
      </c>
      <c r="I85" s="11">
        <f t="shared" si="60"/>
        <v>475</v>
      </c>
      <c r="J85" s="47">
        <f t="shared" si="49"/>
        <v>144.07521</v>
      </c>
      <c r="K85" s="14">
        <f t="shared" si="50"/>
        <v>592.3471062091501</v>
      </c>
      <c r="L85" s="14">
        <f t="shared" si="51"/>
        <v>2267.97385620915</v>
      </c>
      <c r="M85" s="52">
        <f t="shared" si="52"/>
        <v>249.4771241830065</v>
      </c>
      <c r="N85" s="47">
        <f t="shared" si="53"/>
        <v>68.0392156862745</v>
      </c>
      <c r="O85" s="47">
        <f t="shared" si="53"/>
        <v>68.0392156862745</v>
      </c>
      <c r="P85" s="47">
        <f t="shared" si="54"/>
        <v>45.359477124183</v>
      </c>
      <c r="Q85" s="14">
        <f t="shared" si="55"/>
        <v>102.05882352941175</v>
      </c>
      <c r="R85" s="52">
        <f t="shared" si="56"/>
        <v>532.9738562091503</v>
      </c>
      <c r="S85" s="52">
        <f t="shared" si="57"/>
        <v>1281.8544637500001</v>
      </c>
      <c r="T85" s="55">
        <f t="shared" si="58"/>
        <v>1735</v>
      </c>
      <c r="U85" s="89">
        <f t="shared" si="61"/>
        <v>165</v>
      </c>
      <c r="V85" s="95">
        <f t="shared" si="59"/>
        <v>1900</v>
      </c>
    </row>
    <row r="86" spans="1:22" ht="12.75">
      <c r="A86" s="16">
        <v>580</v>
      </c>
      <c r="B86" s="3" t="s">
        <v>11</v>
      </c>
      <c r="C86" s="39">
        <v>753</v>
      </c>
      <c r="D86" s="39">
        <v>187</v>
      </c>
      <c r="E86" s="11">
        <f t="shared" si="46"/>
        <v>769.4229300000001</v>
      </c>
      <c r="F86" s="11">
        <f t="shared" si="46"/>
        <v>191.07847</v>
      </c>
      <c r="G86" s="37">
        <f t="shared" si="47"/>
        <v>960.5014000000001</v>
      </c>
      <c r="H86" s="47">
        <f t="shared" si="48"/>
        <v>96.05014000000001</v>
      </c>
      <c r="I86" s="11">
        <f t="shared" si="60"/>
        <v>475</v>
      </c>
      <c r="J86" s="47">
        <f t="shared" si="49"/>
        <v>144.07521</v>
      </c>
      <c r="K86" s="14">
        <f t="shared" si="50"/>
        <v>592.3471062091501</v>
      </c>
      <c r="L86" s="14">
        <f t="shared" si="51"/>
        <v>2267.97385620915</v>
      </c>
      <c r="M86" s="52">
        <f t="shared" si="52"/>
        <v>249.4771241830065</v>
      </c>
      <c r="N86" s="47">
        <f t="shared" si="53"/>
        <v>68.0392156862745</v>
      </c>
      <c r="O86" s="47">
        <f t="shared" si="53"/>
        <v>68.0392156862745</v>
      </c>
      <c r="P86" s="47">
        <f t="shared" si="54"/>
        <v>45.359477124183</v>
      </c>
      <c r="Q86" s="14">
        <f t="shared" si="55"/>
        <v>102.05882352941175</v>
      </c>
      <c r="R86" s="52">
        <f t="shared" si="56"/>
        <v>532.9738562091503</v>
      </c>
      <c r="S86" s="52">
        <f t="shared" si="57"/>
        <v>1281.8544637500001</v>
      </c>
      <c r="T86" s="55">
        <f t="shared" si="58"/>
        <v>1735</v>
      </c>
      <c r="U86" s="89">
        <f t="shared" si="61"/>
        <v>165</v>
      </c>
      <c r="V86" s="95">
        <f t="shared" si="59"/>
        <v>1900</v>
      </c>
    </row>
    <row r="87" spans="1:22" ht="12.75">
      <c r="A87" s="16">
        <v>6539</v>
      </c>
      <c r="B87" s="3" t="s">
        <v>26</v>
      </c>
      <c r="C87" s="39">
        <v>37.65</v>
      </c>
      <c r="D87" s="39">
        <v>9.35</v>
      </c>
      <c r="E87" s="11">
        <f t="shared" si="46"/>
        <v>38.4711465</v>
      </c>
      <c r="F87" s="11">
        <f t="shared" si="46"/>
        <v>9.5539235</v>
      </c>
      <c r="G87" s="37">
        <f t="shared" si="47"/>
        <v>48.02507</v>
      </c>
      <c r="H87" s="47">
        <f t="shared" si="48"/>
        <v>4.802507</v>
      </c>
      <c r="I87" s="11">
        <f aca="true" t="shared" si="62" ref="I87:I94">$D$10/17</f>
        <v>27.941176470588236</v>
      </c>
      <c r="J87" s="47">
        <f t="shared" si="49"/>
        <v>7.2037605</v>
      </c>
      <c r="K87" s="14">
        <f aca="true" t="shared" si="63" ref="K87:K94">IF((G87+H87+I87+J87)-((G87+H87+I87+J87)*0.235)&lt;$D$11/15,($D$11/15-((G87+H87+I87+J87)-((G87+H87+I87+J87)*0.235)))/0.765,0)</f>
        <v>63.225743110021796</v>
      </c>
      <c r="L87" s="14">
        <f t="shared" si="51"/>
        <v>151.19825708061003</v>
      </c>
      <c r="M87" s="52">
        <f t="shared" si="52"/>
        <v>16.631808278867105</v>
      </c>
      <c r="N87" s="47">
        <f t="shared" si="53"/>
        <v>4.5359477124183005</v>
      </c>
      <c r="O87" s="47">
        <f t="shared" si="53"/>
        <v>4.5359477124183005</v>
      </c>
      <c r="P87" s="47">
        <f t="shared" si="54"/>
        <v>3.0239651416122006</v>
      </c>
      <c r="Q87" s="14">
        <f t="shared" si="55"/>
        <v>6.803921568627452</v>
      </c>
      <c r="R87" s="52">
        <f t="shared" si="56"/>
        <v>35.53159041394336</v>
      </c>
      <c r="S87" s="52">
        <f t="shared" si="57"/>
        <v>67.2989731875</v>
      </c>
      <c r="T87" s="55">
        <f t="shared" si="58"/>
        <v>115.66666666666667</v>
      </c>
      <c r="U87" s="89">
        <f aca="true" t="shared" si="64" ref="U87:U94">$D$12/15</f>
        <v>11</v>
      </c>
      <c r="V87" s="95">
        <f t="shared" si="59"/>
        <v>126.66666666666667</v>
      </c>
    </row>
    <row r="88" spans="1:22" ht="12.75">
      <c r="A88" s="16">
        <v>6540</v>
      </c>
      <c r="B88" s="3" t="s">
        <v>27</v>
      </c>
      <c r="C88" s="39">
        <v>37.65</v>
      </c>
      <c r="D88" s="39">
        <v>9.35</v>
      </c>
      <c r="E88" s="11">
        <f t="shared" si="46"/>
        <v>38.4711465</v>
      </c>
      <c r="F88" s="11">
        <f t="shared" si="46"/>
        <v>9.5539235</v>
      </c>
      <c r="G88" s="37">
        <f t="shared" si="47"/>
        <v>48.02507</v>
      </c>
      <c r="H88" s="47">
        <f t="shared" si="48"/>
        <v>4.802507</v>
      </c>
      <c r="I88" s="11">
        <f t="shared" si="62"/>
        <v>27.941176470588236</v>
      </c>
      <c r="J88" s="47">
        <f t="shared" si="49"/>
        <v>7.2037605</v>
      </c>
      <c r="K88" s="14">
        <f t="shared" si="63"/>
        <v>63.225743110021796</v>
      </c>
      <c r="L88" s="14">
        <f t="shared" si="51"/>
        <v>151.19825708061003</v>
      </c>
      <c r="M88" s="52">
        <f t="shared" si="52"/>
        <v>16.631808278867105</v>
      </c>
      <c r="N88" s="47">
        <f t="shared" si="53"/>
        <v>4.5359477124183005</v>
      </c>
      <c r="O88" s="47">
        <f t="shared" si="53"/>
        <v>4.5359477124183005</v>
      </c>
      <c r="P88" s="47">
        <f t="shared" si="54"/>
        <v>3.0239651416122006</v>
      </c>
      <c r="Q88" s="14">
        <f t="shared" si="55"/>
        <v>6.803921568627452</v>
      </c>
      <c r="R88" s="52">
        <f t="shared" si="56"/>
        <v>35.53159041394336</v>
      </c>
      <c r="S88" s="52">
        <f t="shared" si="57"/>
        <v>67.2989731875</v>
      </c>
      <c r="T88" s="55">
        <f t="shared" si="58"/>
        <v>115.66666666666667</v>
      </c>
      <c r="U88" s="89">
        <f t="shared" si="64"/>
        <v>11</v>
      </c>
      <c r="V88" s="95">
        <f t="shared" si="59"/>
        <v>126.66666666666667</v>
      </c>
    </row>
    <row r="89" spans="1:22" ht="12.75">
      <c r="A89" s="16">
        <v>6541</v>
      </c>
      <c r="B89" s="3" t="s">
        <v>74</v>
      </c>
      <c r="C89" s="39">
        <v>37.65</v>
      </c>
      <c r="D89" s="39">
        <v>9.35</v>
      </c>
      <c r="E89" s="11">
        <f t="shared" si="46"/>
        <v>38.4711465</v>
      </c>
      <c r="F89" s="11">
        <f t="shared" si="46"/>
        <v>9.5539235</v>
      </c>
      <c r="G89" s="37">
        <f t="shared" si="47"/>
        <v>48.02507</v>
      </c>
      <c r="H89" s="47">
        <f t="shared" si="48"/>
        <v>4.802507</v>
      </c>
      <c r="I89" s="11">
        <f t="shared" si="62"/>
        <v>27.941176470588236</v>
      </c>
      <c r="J89" s="47">
        <f t="shared" si="49"/>
        <v>7.2037605</v>
      </c>
      <c r="K89" s="14">
        <f t="shared" si="63"/>
        <v>63.225743110021796</v>
      </c>
      <c r="L89" s="14">
        <f t="shared" si="51"/>
        <v>151.19825708061003</v>
      </c>
      <c r="M89" s="52">
        <f t="shared" si="52"/>
        <v>16.631808278867105</v>
      </c>
      <c r="N89" s="47">
        <f t="shared" si="53"/>
        <v>4.5359477124183005</v>
      </c>
      <c r="O89" s="47">
        <f t="shared" si="53"/>
        <v>4.5359477124183005</v>
      </c>
      <c r="P89" s="47">
        <f t="shared" si="54"/>
        <v>3.0239651416122006</v>
      </c>
      <c r="Q89" s="14">
        <f t="shared" si="55"/>
        <v>6.803921568627452</v>
      </c>
      <c r="R89" s="52">
        <f t="shared" si="56"/>
        <v>35.53159041394336</v>
      </c>
      <c r="S89" s="52">
        <f t="shared" si="57"/>
        <v>67.2989731875</v>
      </c>
      <c r="T89" s="55">
        <f t="shared" si="58"/>
        <v>115.66666666666667</v>
      </c>
      <c r="U89" s="89">
        <f t="shared" si="64"/>
        <v>11</v>
      </c>
      <c r="V89" s="95">
        <f t="shared" si="59"/>
        <v>126.66666666666667</v>
      </c>
    </row>
    <row r="90" spans="1:22" ht="12.75">
      <c r="A90" s="16">
        <v>6850</v>
      </c>
      <c r="B90" s="3" t="s">
        <v>32</v>
      </c>
      <c r="C90" s="39">
        <v>37.65</v>
      </c>
      <c r="D90" s="39">
        <v>9.35</v>
      </c>
      <c r="E90" s="11">
        <f t="shared" si="46"/>
        <v>38.4711465</v>
      </c>
      <c r="F90" s="11">
        <f t="shared" si="46"/>
        <v>9.5539235</v>
      </c>
      <c r="G90" s="37">
        <f t="shared" si="47"/>
        <v>48.02507</v>
      </c>
      <c r="H90" s="47">
        <f t="shared" si="48"/>
        <v>4.802507</v>
      </c>
      <c r="I90" s="11">
        <f t="shared" si="62"/>
        <v>27.941176470588236</v>
      </c>
      <c r="J90" s="47">
        <f t="shared" si="49"/>
        <v>7.2037605</v>
      </c>
      <c r="K90" s="14">
        <f t="shared" si="63"/>
        <v>63.225743110021796</v>
      </c>
      <c r="L90" s="14">
        <f t="shared" si="51"/>
        <v>151.19825708061003</v>
      </c>
      <c r="M90" s="52">
        <f t="shared" si="52"/>
        <v>16.631808278867105</v>
      </c>
      <c r="N90" s="47">
        <f t="shared" si="53"/>
        <v>4.5359477124183005</v>
      </c>
      <c r="O90" s="47">
        <f t="shared" si="53"/>
        <v>4.5359477124183005</v>
      </c>
      <c r="P90" s="47">
        <f t="shared" si="54"/>
        <v>3.0239651416122006</v>
      </c>
      <c r="Q90" s="14">
        <f t="shared" si="55"/>
        <v>6.803921568627452</v>
      </c>
      <c r="R90" s="52">
        <f t="shared" si="56"/>
        <v>35.53159041394336</v>
      </c>
      <c r="S90" s="52">
        <f t="shared" si="57"/>
        <v>67.2989731875</v>
      </c>
      <c r="T90" s="55">
        <f t="shared" si="58"/>
        <v>115.66666666666667</v>
      </c>
      <c r="U90" s="89">
        <f t="shared" si="64"/>
        <v>11</v>
      </c>
      <c r="V90" s="95">
        <f t="shared" si="59"/>
        <v>126.66666666666667</v>
      </c>
    </row>
    <row r="91" spans="1:22" ht="12.75">
      <c r="A91" s="16">
        <v>6546</v>
      </c>
      <c r="B91" s="3" t="s">
        <v>28</v>
      </c>
      <c r="C91" s="42">
        <v>50.2</v>
      </c>
      <c r="D91" s="39">
        <v>12.47</v>
      </c>
      <c r="E91" s="11">
        <f t="shared" si="46"/>
        <v>51.29486200000001</v>
      </c>
      <c r="F91" s="11">
        <f t="shared" si="46"/>
        <v>12.741970700000001</v>
      </c>
      <c r="G91" s="37">
        <f t="shared" si="47"/>
        <v>64.0368327</v>
      </c>
      <c r="H91" s="47">
        <f t="shared" si="48"/>
        <v>6.403683270000001</v>
      </c>
      <c r="I91" s="11">
        <f t="shared" si="62"/>
        <v>27.941176470588236</v>
      </c>
      <c r="J91" s="47">
        <f t="shared" si="49"/>
        <v>9.605524905000001</v>
      </c>
      <c r="K91" s="14">
        <f t="shared" si="63"/>
        <v>43.211039735021785</v>
      </c>
      <c r="L91" s="14">
        <f t="shared" si="51"/>
        <v>151.19825708061</v>
      </c>
      <c r="M91" s="52">
        <f t="shared" si="52"/>
        <v>16.6318082788671</v>
      </c>
      <c r="N91" s="47">
        <f t="shared" si="53"/>
        <v>4.5359477124183</v>
      </c>
      <c r="O91" s="47">
        <f t="shared" si="53"/>
        <v>4.5359477124183</v>
      </c>
      <c r="P91" s="47">
        <f t="shared" si="54"/>
        <v>3.0239651416122</v>
      </c>
      <c r="Q91" s="14">
        <f t="shared" si="55"/>
        <v>6.80392156862745</v>
      </c>
      <c r="R91" s="52">
        <f t="shared" si="56"/>
        <v>35.53159041394335</v>
      </c>
      <c r="S91" s="52">
        <f t="shared" si="57"/>
        <v>82.610221269375</v>
      </c>
      <c r="T91" s="55">
        <f t="shared" si="58"/>
        <v>115.66666666666666</v>
      </c>
      <c r="U91" s="89">
        <f t="shared" si="64"/>
        <v>11</v>
      </c>
      <c r="V91" s="95">
        <f t="shared" si="59"/>
        <v>126.66666666666666</v>
      </c>
    </row>
    <row r="92" spans="1:22" ht="12.75">
      <c r="A92" s="16">
        <v>6571</v>
      </c>
      <c r="B92" s="3" t="s">
        <v>29</v>
      </c>
      <c r="C92" s="39">
        <v>37.65</v>
      </c>
      <c r="D92" s="39">
        <v>9.35</v>
      </c>
      <c r="E92" s="11">
        <f t="shared" si="46"/>
        <v>38.4711465</v>
      </c>
      <c r="F92" s="11">
        <f t="shared" si="46"/>
        <v>9.5539235</v>
      </c>
      <c r="G92" s="37">
        <f t="shared" si="47"/>
        <v>48.02507</v>
      </c>
      <c r="H92" s="47">
        <f t="shared" si="48"/>
        <v>4.802507</v>
      </c>
      <c r="I92" s="11">
        <f t="shared" si="62"/>
        <v>27.941176470588236</v>
      </c>
      <c r="J92" s="47">
        <f t="shared" si="49"/>
        <v>7.2037605</v>
      </c>
      <c r="K92" s="14">
        <f t="shared" si="63"/>
        <v>63.225743110021796</v>
      </c>
      <c r="L92" s="14">
        <f t="shared" si="51"/>
        <v>151.19825708061003</v>
      </c>
      <c r="M92" s="52">
        <f t="shared" si="52"/>
        <v>16.631808278867105</v>
      </c>
      <c r="N92" s="47">
        <f t="shared" si="53"/>
        <v>4.5359477124183005</v>
      </c>
      <c r="O92" s="47">
        <f t="shared" si="53"/>
        <v>4.5359477124183005</v>
      </c>
      <c r="P92" s="47">
        <f t="shared" si="54"/>
        <v>3.0239651416122006</v>
      </c>
      <c r="Q92" s="14">
        <f t="shared" si="55"/>
        <v>6.803921568627452</v>
      </c>
      <c r="R92" s="52">
        <f t="shared" si="56"/>
        <v>35.53159041394336</v>
      </c>
      <c r="S92" s="52">
        <f t="shared" si="57"/>
        <v>67.2989731875</v>
      </c>
      <c r="T92" s="55">
        <f t="shared" si="58"/>
        <v>115.66666666666667</v>
      </c>
      <c r="U92" s="89">
        <f t="shared" si="64"/>
        <v>11</v>
      </c>
      <c r="V92" s="95">
        <f t="shared" si="59"/>
        <v>126.66666666666667</v>
      </c>
    </row>
    <row r="93" spans="1:22" ht="12.75">
      <c r="A93" s="16">
        <v>6508</v>
      </c>
      <c r="B93" s="3" t="s">
        <v>97</v>
      </c>
      <c r="C93" s="39">
        <v>47</v>
      </c>
      <c r="D93" s="39">
        <v>8</v>
      </c>
      <c r="E93" s="11">
        <f t="shared" si="46"/>
        <v>48.02507000000001</v>
      </c>
      <c r="F93" s="11">
        <f t="shared" si="46"/>
        <v>8.17448</v>
      </c>
      <c r="G93" s="37">
        <f t="shared" si="47"/>
        <v>56.19955000000001</v>
      </c>
      <c r="H93" s="47">
        <f t="shared" si="48"/>
        <v>5.619955000000001</v>
      </c>
      <c r="I93" s="11">
        <f t="shared" si="62"/>
        <v>27.941176470588236</v>
      </c>
      <c r="J93" s="47">
        <f t="shared" si="49"/>
        <v>8.429932500000001</v>
      </c>
      <c r="K93" s="14">
        <f t="shared" si="63"/>
        <v>53.00764311002178</v>
      </c>
      <c r="L93" s="14">
        <f t="shared" si="51"/>
        <v>151.19825708061003</v>
      </c>
      <c r="M93" s="52">
        <f t="shared" si="52"/>
        <v>16.631808278867105</v>
      </c>
      <c r="N93" s="47">
        <f t="shared" si="53"/>
        <v>4.5359477124183005</v>
      </c>
      <c r="O93" s="47">
        <f t="shared" si="53"/>
        <v>4.5359477124183005</v>
      </c>
      <c r="P93" s="47">
        <f t="shared" si="54"/>
        <v>3.0239651416122006</v>
      </c>
      <c r="Q93" s="14">
        <f t="shared" si="55"/>
        <v>6.803921568627452</v>
      </c>
      <c r="R93" s="52">
        <f t="shared" si="56"/>
        <v>35.53159041394336</v>
      </c>
      <c r="S93" s="52">
        <f t="shared" si="57"/>
        <v>75.11581968750001</v>
      </c>
      <c r="T93" s="55">
        <f t="shared" si="58"/>
        <v>115.66666666666667</v>
      </c>
      <c r="U93" s="89">
        <f t="shared" si="64"/>
        <v>11</v>
      </c>
      <c r="V93" s="95">
        <f t="shared" si="59"/>
        <v>126.66666666666667</v>
      </c>
    </row>
    <row r="94" spans="1:22" ht="13.5" thickBot="1">
      <c r="A94" s="17">
        <v>6536</v>
      </c>
      <c r="B94" s="6" t="s">
        <v>30</v>
      </c>
      <c r="C94" s="40">
        <v>37.65</v>
      </c>
      <c r="D94" s="40">
        <v>9.35</v>
      </c>
      <c r="E94" s="12">
        <f t="shared" si="46"/>
        <v>38.4711465</v>
      </c>
      <c r="F94" s="12">
        <f t="shared" si="46"/>
        <v>9.5539235</v>
      </c>
      <c r="G94" s="38">
        <f t="shared" si="47"/>
        <v>48.02507</v>
      </c>
      <c r="H94" s="48">
        <f t="shared" si="48"/>
        <v>4.802507</v>
      </c>
      <c r="I94" s="11">
        <f t="shared" si="62"/>
        <v>27.941176470588236</v>
      </c>
      <c r="J94" s="48">
        <f t="shared" si="49"/>
        <v>7.2037605</v>
      </c>
      <c r="K94" s="14">
        <f t="shared" si="63"/>
        <v>63.225743110021796</v>
      </c>
      <c r="L94" s="14">
        <f t="shared" si="51"/>
        <v>151.19825708061003</v>
      </c>
      <c r="M94" s="53">
        <f t="shared" si="52"/>
        <v>16.631808278867105</v>
      </c>
      <c r="N94" s="48">
        <f t="shared" si="53"/>
        <v>4.5359477124183005</v>
      </c>
      <c r="O94" s="48">
        <f t="shared" si="53"/>
        <v>4.5359477124183005</v>
      </c>
      <c r="P94" s="48">
        <f t="shared" si="54"/>
        <v>3.0239651416122006</v>
      </c>
      <c r="Q94" s="15">
        <f t="shared" si="55"/>
        <v>6.803921568627452</v>
      </c>
      <c r="R94" s="53">
        <f t="shared" si="56"/>
        <v>35.53159041394336</v>
      </c>
      <c r="S94" s="52">
        <f t="shared" si="57"/>
        <v>67.2989731875</v>
      </c>
      <c r="T94" s="55">
        <f t="shared" si="58"/>
        <v>115.66666666666667</v>
      </c>
      <c r="U94" s="89">
        <f t="shared" si="64"/>
        <v>11</v>
      </c>
      <c r="V94" s="95">
        <f t="shared" si="59"/>
        <v>126.66666666666667</v>
      </c>
    </row>
    <row r="95" spans="1:20" ht="12.75">
      <c r="A95" s="24" t="s">
        <v>73</v>
      </c>
      <c r="B95" s="31" t="s">
        <v>100</v>
      </c>
      <c r="C95" s="24"/>
      <c r="D95" s="24"/>
      <c r="E95" s="22"/>
      <c r="F95" s="22"/>
      <c r="G95" s="23"/>
      <c r="H95" s="23"/>
      <c r="I95" s="22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ht="13.5" thickBot="1"/>
    <row r="97" spans="1:22" ht="20.25">
      <c r="A97" s="176" t="s">
        <v>35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83"/>
      <c r="V97" s="84"/>
    </row>
    <row r="98" spans="1:22" s="13" customFormat="1" ht="12.75" customHeight="1">
      <c r="A98" s="178" t="s">
        <v>1</v>
      </c>
      <c r="B98" s="180" t="s">
        <v>0</v>
      </c>
      <c r="C98" s="180" t="s">
        <v>2</v>
      </c>
      <c r="D98" s="180"/>
      <c r="E98" s="182" t="s">
        <v>61</v>
      </c>
      <c r="F98" s="182" t="s">
        <v>62</v>
      </c>
      <c r="G98" s="184" t="s">
        <v>68</v>
      </c>
      <c r="H98" s="184" t="s">
        <v>66</v>
      </c>
      <c r="I98" s="182" t="s">
        <v>132</v>
      </c>
      <c r="J98" s="184" t="s">
        <v>77</v>
      </c>
      <c r="K98" s="186" t="s">
        <v>118</v>
      </c>
      <c r="L98" s="186" t="s">
        <v>117</v>
      </c>
      <c r="M98" s="188" t="s">
        <v>99</v>
      </c>
      <c r="N98" s="189"/>
      <c r="O98" s="189"/>
      <c r="P98" s="189"/>
      <c r="Q98" s="189"/>
      <c r="R98" s="190" t="s">
        <v>116</v>
      </c>
      <c r="S98" s="190" t="s">
        <v>115</v>
      </c>
      <c r="T98" s="192" t="s">
        <v>114</v>
      </c>
      <c r="U98" s="192" t="s">
        <v>121</v>
      </c>
      <c r="V98" s="192" t="s">
        <v>122</v>
      </c>
    </row>
    <row r="99" spans="1:22" s="13" customFormat="1" ht="78" customHeight="1">
      <c r="A99" s="179"/>
      <c r="B99" s="181"/>
      <c r="C99" s="8" t="s">
        <v>3</v>
      </c>
      <c r="D99" s="8" t="s">
        <v>6</v>
      </c>
      <c r="E99" s="183"/>
      <c r="F99" s="183"/>
      <c r="G99" s="185"/>
      <c r="H99" s="185"/>
      <c r="I99" s="183"/>
      <c r="J99" s="185"/>
      <c r="K99" s="187"/>
      <c r="L99" s="187"/>
      <c r="M99" s="63" t="s">
        <v>101</v>
      </c>
      <c r="N99" s="62" t="s">
        <v>102</v>
      </c>
      <c r="O99" s="62" t="s">
        <v>103</v>
      </c>
      <c r="P99" s="64" t="s">
        <v>104</v>
      </c>
      <c r="Q99" s="64" t="s">
        <v>105</v>
      </c>
      <c r="R99" s="191"/>
      <c r="S99" s="191"/>
      <c r="T99" s="188"/>
      <c r="U99" s="188"/>
      <c r="V99" s="188"/>
    </row>
    <row r="100" spans="1:22" ht="12.75">
      <c r="A100" s="16">
        <v>603</v>
      </c>
      <c r="B100" s="3" t="s">
        <v>36</v>
      </c>
      <c r="C100" s="39">
        <v>2100</v>
      </c>
      <c r="D100" s="39">
        <v>326</v>
      </c>
      <c r="E100" s="11">
        <f aca="true" t="shared" si="65" ref="E100:F111">C100*$D$168</f>
        <v>2145.8010000000004</v>
      </c>
      <c r="F100" s="11">
        <f t="shared" si="65"/>
        <v>333.11006000000003</v>
      </c>
      <c r="G100" s="37">
        <f aca="true" t="shared" si="66" ref="G100:G111">F100+E100</f>
        <v>2478.9110600000004</v>
      </c>
      <c r="H100" s="47">
        <f aca="true" t="shared" si="67" ref="H100:H111">G100*0.1</f>
        <v>247.89110600000004</v>
      </c>
      <c r="I100" s="11">
        <f aca="true" t="shared" si="68" ref="I100:I110">$D$10</f>
        <v>475</v>
      </c>
      <c r="J100" s="47">
        <v>0</v>
      </c>
      <c r="K100" s="14">
        <f aca="true" t="shared" si="69" ref="K100:K110">IF((G100+H100+I100+J100)-((G100+H100+I100+J100)*0.235)&lt;$D$11,($D$11-((G100+H100+I100+J100)-((G100+H100+I100+J100)*0.235)))/0.765,0)</f>
        <v>0</v>
      </c>
      <c r="L100" s="14">
        <f aca="true" t="shared" si="70" ref="L100:L111">SUM(G100:K100)</f>
        <v>3201.8021660000004</v>
      </c>
      <c r="M100" s="52">
        <f aca="true" t="shared" si="71" ref="M100:M111">$L100*11%</f>
        <v>352.19823826000004</v>
      </c>
      <c r="N100" s="47">
        <f aca="true" t="shared" si="72" ref="N100:O111">$L100*3%</f>
        <v>96.05406498</v>
      </c>
      <c r="O100" s="47">
        <f t="shared" si="72"/>
        <v>96.05406498</v>
      </c>
      <c r="P100" s="47">
        <f aca="true" t="shared" si="73" ref="P100:P111">$L100*2%</f>
        <v>64.03604332</v>
      </c>
      <c r="Q100" s="14">
        <f aca="true" t="shared" si="74" ref="Q100:Q111">$L100*4.5%</f>
        <v>144.08109747</v>
      </c>
      <c r="R100" s="52">
        <f aca="true" t="shared" si="75" ref="R100:R111">SUM(N100:Q100)+M100</f>
        <v>752.4235090100001</v>
      </c>
      <c r="S100" s="52">
        <f aca="true" t="shared" si="76" ref="S100:S111">(G100+H100+I100+J100)-((G100+H100+I100+J100)*0.235)</f>
        <v>2449.3786569900003</v>
      </c>
      <c r="T100" s="55">
        <f aca="true" t="shared" si="77" ref="T100:T111">L100-R100</f>
        <v>2449.3786569900003</v>
      </c>
      <c r="U100" s="89">
        <f aca="true" t="shared" si="78" ref="U100:U110">$D$12</f>
        <v>165</v>
      </c>
      <c r="V100" s="95">
        <f aca="true" t="shared" si="79" ref="V100:V111">T100+U100</f>
        <v>2614.3786569900003</v>
      </c>
    </row>
    <row r="101" spans="1:22" ht="12.75">
      <c r="A101" s="16">
        <v>1515</v>
      </c>
      <c r="B101" s="3" t="s">
        <v>37</v>
      </c>
      <c r="C101" s="39">
        <v>1763</v>
      </c>
      <c r="D101" s="39">
        <v>436</v>
      </c>
      <c r="E101" s="11">
        <f t="shared" si="65"/>
        <v>1801.4510300000002</v>
      </c>
      <c r="F101" s="11">
        <f t="shared" si="65"/>
        <v>445.50916000000007</v>
      </c>
      <c r="G101" s="37">
        <f t="shared" si="66"/>
        <v>2246.9601900000002</v>
      </c>
      <c r="H101" s="47">
        <f t="shared" si="67"/>
        <v>224.69601900000004</v>
      </c>
      <c r="I101" s="11">
        <f t="shared" si="68"/>
        <v>475</v>
      </c>
      <c r="J101" s="47">
        <v>0</v>
      </c>
      <c r="K101" s="14">
        <f t="shared" si="69"/>
        <v>0</v>
      </c>
      <c r="L101" s="14">
        <f t="shared" si="70"/>
        <v>2946.656209</v>
      </c>
      <c r="M101" s="52">
        <f t="shared" si="71"/>
        <v>324.13218299000005</v>
      </c>
      <c r="N101" s="47">
        <f t="shared" si="72"/>
        <v>88.39968627</v>
      </c>
      <c r="O101" s="47">
        <f t="shared" si="72"/>
        <v>88.39968627</v>
      </c>
      <c r="P101" s="47">
        <f t="shared" si="73"/>
        <v>58.93312418000001</v>
      </c>
      <c r="Q101" s="14">
        <f t="shared" si="74"/>
        <v>132.599529405</v>
      </c>
      <c r="R101" s="52">
        <f t="shared" si="75"/>
        <v>692.4642091150001</v>
      </c>
      <c r="S101" s="52">
        <f t="shared" si="76"/>
        <v>2254.1919998850003</v>
      </c>
      <c r="T101" s="55">
        <f t="shared" si="77"/>
        <v>2254.191999885</v>
      </c>
      <c r="U101" s="89">
        <f t="shared" si="78"/>
        <v>165</v>
      </c>
      <c r="V101" s="95">
        <f t="shared" si="79"/>
        <v>2419.191999885</v>
      </c>
    </row>
    <row r="102" spans="1:22" ht="12.75">
      <c r="A102" s="16">
        <v>1532</v>
      </c>
      <c r="B102" s="3" t="s">
        <v>38</v>
      </c>
      <c r="C102" s="39">
        <v>866</v>
      </c>
      <c r="D102" s="41">
        <v>784</v>
      </c>
      <c r="E102" s="11">
        <f t="shared" si="65"/>
        <v>884.8874600000001</v>
      </c>
      <c r="F102" s="11">
        <f t="shared" si="65"/>
        <v>801.0990400000001</v>
      </c>
      <c r="G102" s="37">
        <f t="shared" si="66"/>
        <v>1685.9865000000002</v>
      </c>
      <c r="H102" s="47">
        <f t="shared" si="67"/>
        <v>168.59865000000002</v>
      </c>
      <c r="I102" s="11">
        <f t="shared" si="68"/>
        <v>475</v>
      </c>
      <c r="J102" s="47">
        <v>0</v>
      </c>
      <c r="K102" s="14">
        <f t="shared" si="69"/>
        <v>0</v>
      </c>
      <c r="L102" s="14">
        <f t="shared" si="70"/>
        <v>2329.5851500000003</v>
      </c>
      <c r="M102" s="52">
        <f t="shared" si="71"/>
        <v>256.25436650000006</v>
      </c>
      <c r="N102" s="47">
        <f t="shared" si="72"/>
        <v>69.88755450000001</v>
      </c>
      <c r="O102" s="47">
        <f t="shared" si="72"/>
        <v>69.88755450000001</v>
      </c>
      <c r="P102" s="47">
        <f t="shared" si="73"/>
        <v>46.59170300000001</v>
      </c>
      <c r="Q102" s="14">
        <f t="shared" si="74"/>
        <v>104.83133175000002</v>
      </c>
      <c r="R102" s="52">
        <f t="shared" si="75"/>
        <v>547.4525102500002</v>
      </c>
      <c r="S102" s="52">
        <f t="shared" si="76"/>
        <v>1782.1326397500002</v>
      </c>
      <c r="T102" s="55">
        <f t="shared" si="77"/>
        <v>1782.1326397500002</v>
      </c>
      <c r="U102" s="89">
        <f t="shared" si="78"/>
        <v>165</v>
      </c>
      <c r="V102" s="95">
        <f t="shared" si="79"/>
        <v>1947.1326397500002</v>
      </c>
    </row>
    <row r="103" spans="1:22" ht="12.75">
      <c r="A103" s="16">
        <v>1534</v>
      </c>
      <c r="B103" s="3" t="s">
        <v>39</v>
      </c>
      <c r="C103" s="39">
        <v>736</v>
      </c>
      <c r="D103" s="41">
        <v>614</v>
      </c>
      <c r="E103" s="11">
        <f t="shared" si="65"/>
        <v>752.0521600000001</v>
      </c>
      <c r="F103" s="11">
        <f t="shared" si="65"/>
        <v>627.39134</v>
      </c>
      <c r="G103" s="37">
        <f t="shared" si="66"/>
        <v>1379.4435</v>
      </c>
      <c r="H103" s="47">
        <f t="shared" si="67"/>
        <v>137.94435000000001</v>
      </c>
      <c r="I103" s="11">
        <f t="shared" si="68"/>
        <v>475</v>
      </c>
      <c r="J103" s="47">
        <v>0</v>
      </c>
      <c r="K103" s="14">
        <f t="shared" si="69"/>
        <v>275.5860062091504</v>
      </c>
      <c r="L103" s="14">
        <f t="shared" si="70"/>
        <v>2267.9738562091507</v>
      </c>
      <c r="M103" s="52">
        <f t="shared" si="71"/>
        <v>249.47712418300657</v>
      </c>
      <c r="N103" s="47">
        <f t="shared" si="72"/>
        <v>68.03921568627452</v>
      </c>
      <c r="O103" s="47">
        <f t="shared" si="72"/>
        <v>68.03921568627452</v>
      </c>
      <c r="P103" s="47">
        <f t="shared" si="73"/>
        <v>45.359477124183016</v>
      </c>
      <c r="Q103" s="14">
        <f t="shared" si="74"/>
        <v>102.05882352941178</v>
      </c>
      <c r="R103" s="52">
        <f t="shared" si="75"/>
        <v>532.9738562091504</v>
      </c>
      <c r="S103" s="52">
        <f t="shared" si="76"/>
        <v>1524.17670525</v>
      </c>
      <c r="T103" s="55">
        <f t="shared" si="77"/>
        <v>1735.0000000000002</v>
      </c>
      <c r="U103" s="89">
        <f t="shared" si="78"/>
        <v>165</v>
      </c>
      <c r="V103" s="95">
        <f t="shared" si="79"/>
        <v>1900.0000000000002</v>
      </c>
    </row>
    <row r="104" spans="1:22" ht="12.75">
      <c r="A104" s="16">
        <v>1556</v>
      </c>
      <c r="B104" s="3" t="s">
        <v>40</v>
      </c>
      <c r="C104" s="39">
        <v>753</v>
      </c>
      <c r="D104" s="39">
        <v>187</v>
      </c>
      <c r="E104" s="11">
        <f t="shared" si="65"/>
        <v>769.4229300000001</v>
      </c>
      <c r="F104" s="11">
        <f t="shared" si="65"/>
        <v>191.07847</v>
      </c>
      <c r="G104" s="37">
        <f t="shared" si="66"/>
        <v>960.5014000000001</v>
      </c>
      <c r="H104" s="47">
        <f t="shared" si="67"/>
        <v>96.05014000000001</v>
      </c>
      <c r="I104" s="11">
        <f t="shared" si="68"/>
        <v>475</v>
      </c>
      <c r="J104" s="47">
        <v>0</v>
      </c>
      <c r="K104" s="14">
        <f t="shared" si="69"/>
        <v>736.42231620915</v>
      </c>
      <c r="L104" s="14">
        <f t="shared" si="70"/>
        <v>2267.97385620915</v>
      </c>
      <c r="M104" s="52">
        <f t="shared" si="71"/>
        <v>249.4771241830065</v>
      </c>
      <c r="N104" s="47">
        <f t="shared" si="72"/>
        <v>68.0392156862745</v>
      </c>
      <c r="O104" s="47">
        <f t="shared" si="72"/>
        <v>68.0392156862745</v>
      </c>
      <c r="P104" s="47">
        <f t="shared" si="73"/>
        <v>45.359477124183</v>
      </c>
      <c r="Q104" s="14">
        <f t="shared" si="74"/>
        <v>102.05882352941175</v>
      </c>
      <c r="R104" s="52">
        <f t="shared" si="75"/>
        <v>532.9738562091503</v>
      </c>
      <c r="S104" s="52">
        <f t="shared" si="76"/>
        <v>1171.6369281000002</v>
      </c>
      <c r="T104" s="55">
        <f t="shared" si="77"/>
        <v>1735</v>
      </c>
      <c r="U104" s="89">
        <f t="shared" si="78"/>
        <v>165</v>
      </c>
      <c r="V104" s="95">
        <f t="shared" si="79"/>
        <v>1900</v>
      </c>
    </row>
    <row r="105" spans="1:22" ht="12.75">
      <c r="A105" s="16">
        <v>1557</v>
      </c>
      <c r="B105" s="96" t="s">
        <v>134</v>
      </c>
      <c r="C105" s="39">
        <v>695</v>
      </c>
      <c r="D105" s="39">
        <v>128</v>
      </c>
      <c r="E105" s="11">
        <f t="shared" si="65"/>
        <v>710.15795</v>
      </c>
      <c r="F105" s="11">
        <f t="shared" si="65"/>
        <v>130.79168</v>
      </c>
      <c r="G105" s="37">
        <f t="shared" si="66"/>
        <v>840.9496300000001</v>
      </c>
      <c r="H105" s="47">
        <f t="shared" si="67"/>
        <v>84.094963</v>
      </c>
      <c r="I105" s="11">
        <f t="shared" si="68"/>
        <v>475</v>
      </c>
      <c r="J105" s="47">
        <v>0</v>
      </c>
      <c r="K105" s="14">
        <f t="shared" si="69"/>
        <v>867.9292632091501</v>
      </c>
      <c r="L105" s="14">
        <f t="shared" si="70"/>
        <v>2267.97385620915</v>
      </c>
      <c r="M105" s="52">
        <f t="shared" si="71"/>
        <v>249.4771241830065</v>
      </c>
      <c r="N105" s="47">
        <f t="shared" si="72"/>
        <v>68.0392156862745</v>
      </c>
      <c r="O105" s="47">
        <f t="shared" si="72"/>
        <v>68.0392156862745</v>
      </c>
      <c r="P105" s="47">
        <f t="shared" si="73"/>
        <v>45.359477124183</v>
      </c>
      <c r="Q105" s="14">
        <f t="shared" si="74"/>
        <v>102.05882352941175</v>
      </c>
      <c r="R105" s="52">
        <f>SUM(N105:Q105)+M105</f>
        <v>532.9738562091503</v>
      </c>
      <c r="S105" s="52">
        <f>(G105+H105+I105+J105)-((G105+H105+I105+J105)*0.235)</f>
        <v>1071.0341136450002</v>
      </c>
      <c r="T105" s="55">
        <f>L105-R105</f>
        <v>1735</v>
      </c>
      <c r="U105" s="89">
        <f t="shared" si="78"/>
        <v>165</v>
      </c>
      <c r="V105" s="95">
        <f>T105+U105</f>
        <v>1900</v>
      </c>
    </row>
    <row r="106" spans="1:22" ht="12.75">
      <c r="A106" s="16">
        <v>1559</v>
      </c>
      <c r="B106" s="3" t="s">
        <v>41</v>
      </c>
      <c r="C106" s="39">
        <v>775</v>
      </c>
      <c r="D106" s="39">
        <v>264</v>
      </c>
      <c r="E106" s="11">
        <f t="shared" si="65"/>
        <v>791.9027500000001</v>
      </c>
      <c r="F106" s="11">
        <f t="shared" si="65"/>
        <v>269.75784000000004</v>
      </c>
      <c r="G106" s="37">
        <f t="shared" si="66"/>
        <v>1061.6605900000002</v>
      </c>
      <c r="H106" s="47">
        <f t="shared" si="67"/>
        <v>106.16605900000002</v>
      </c>
      <c r="I106" s="11">
        <f t="shared" si="68"/>
        <v>475</v>
      </c>
      <c r="J106" s="47">
        <v>0</v>
      </c>
      <c r="K106" s="14">
        <f t="shared" si="69"/>
        <v>625.14720720915</v>
      </c>
      <c r="L106" s="14">
        <f t="shared" si="70"/>
        <v>2267.97385620915</v>
      </c>
      <c r="M106" s="52">
        <f t="shared" si="71"/>
        <v>249.4771241830065</v>
      </c>
      <c r="N106" s="47">
        <f t="shared" si="72"/>
        <v>68.0392156862745</v>
      </c>
      <c r="O106" s="47">
        <f t="shared" si="72"/>
        <v>68.0392156862745</v>
      </c>
      <c r="P106" s="47">
        <f t="shared" si="73"/>
        <v>45.359477124183</v>
      </c>
      <c r="Q106" s="14">
        <f t="shared" si="74"/>
        <v>102.05882352941175</v>
      </c>
      <c r="R106" s="52">
        <f t="shared" si="75"/>
        <v>532.9738562091503</v>
      </c>
      <c r="S106" s="52">
        <f t="shared" si="76"/>
        <v>1256.7623864850002</v>
      </c>
      <c r="T106" s="55">
        <f t="shared" si="77"/>
        <v>1735</v>
      </c>
      <c r="U106" s="89">
        <f t="shared" si="78"/>
        <v>165</v>
      </c>
      <c r="V106" s="95">
        <f t="shared" si="79"/>
        <v>1900</v>
      </c>
    </row>
    <row r="107" spans="1:22" ht="12.75">
      <c r="A107" s="16">
        <v>1566</v>
      </c>
      <c r="B107" s="3" t="s">
        <v>42</v>
      </c>
      <c r="C107" s="39">
        <v>753</v>
      </c>
      <c r="D107" s="39">
        <v>187</v>
      </c>
      <c r="E107" s="11">
        <f t="shared" si="65"/>
        <v>769.4229300000001</v>
      </c>
      <c r="F107" s="11">
        <f t="shared" si="65"/>
        <v>191.07847</v>
      </c>
      <c r="G107" s="37">
        <f t="shared" si="66"/>
        <v>960.5014000000001</v>
      </c>
      <c r="H107" s="47">
        <f t="shared" si="67"/>
        <v>96.05014000000001</v>
      </c>
      <c r="I107" s="11">
        <f t="shared" si="68"/>
        <v>475</v>
      </c>
      <c r="J107" s="47">
        <v>0</v>
      </c>
      <c r="K107" s="14">
        <f t="shared" si="69"/>
        <v>736.42231620915</v>
      </c>
      <c r="L107" s="14">
        <f t="shared" si="70"/>
        <v>2267.97385620915</v>
      </c>
      <c r="M107" s="52">
        <f t="shared" si="71"/>
        <v>249.4771241830065</v>
      </c>
      <c r="N107" s="47">
        <f t="shared" si="72"/>
        <v>68.0392156862745</v>
      </c>
      <c r="O107" s="47">
        <f t="shared" si="72"/>
        <v>68.0392156862745</v>
      </c>
      <c r="P107" s="47">
        <f t="shared" si="73"/>
        <v>45.359477124183</v>
      </c>
      <c r="Q107" s="14">
        <f t="shared" si="74"/>
        <v>102.05882352941175</v>
      </c>
      <c r="R107" s="52">
        <f t="shared" si="75"/>
        <v>532.9738562091503</v>
      </c>
      <c r="S107" s="52">
        <f t="shared" si="76"/>
        <v>1171.6369281000002</v>
      </c>
      <c r="T107" s="55">
        <f t="shared" si="77"/>
        <v>1735</v>
      </c>
      <c r="U107" s="89">
        <f t="shared" si="78"/>
        <v>165</v>
      </c>
      <c r="V107" s="95">
        <f t="shared" si="79"/>
        <v>1900</v>
      </c>
    </row>
    <row r="108" spans="1:22" ht="12.75">
      <c r="A108" s="16">
        <v>1567</v>
      </c>
      <c r="B108" s="3" t="s">
        <v>43</v>
      </c>
      <c r="C108" s="39">
        <v>570</v>
      </c>
      <c r="D108" s="39">
        <v>240</v>
      </c>
      <c r="E108" s="11">
        <f t="shared" si="65"/>
        <v>582.4317000000001</v>
      </c>
      <c r="F108" s="11">
        <f t="shared" si="65"/>
        <v>245.23440000000002</v>
      </c>
      <c r="G108" s="37">
        <f t="shared" si="66"/>
        <v>827.6661000000001</v>
      </c>
      <c r="H108" s="47">
        <f t="shared" si="67"/>
        <v>82.76661000000001</v>
      </c>
      <c r="I108" s="11">
        <f t="shared" si="68"/>
        <v>475</v>
      </c>
      <c r="J108" s="47">
        <v>0</v>
      </c>
      <c r="K108" s="14">
        <f t="shared" si="69"/>
        <v>882.5411462091503</v>
      </c>
      <c r="L108" s="14">
        <f t="shared" si="70"/>
        <v>2267.97385620915</v>
      </c>
      <c r="M108" s="52">
        <f t="shared" si="71"/>
        <v>249.4771241830065</v>
      </c>
      <c r="N108" s="47">
        <f t="shared" si="72"/>
        <v>68.0392156862745</v>
      </c>
      <c r="O108" s="47">
        <f t="shared" si="72"/>
        <v>68.0392156862745</v>
      </c>
      <c r="P108" s="47">
        <f t="shared" si="73"/>
        <v>45.359477124183</v>
      </c>
      <c r="Q108" s="14">
        <f t="shared" si="74"/>
        <v>102.05882352941175</v>
      </c>
      <c r="R108" s="52">
        <f t="shared" si="75"/>
        <v>532.9738562091503</v>
      </c>
      <c r="S108" s="52">
        <f t="shared" si="76"/>
        <v>1059.85602315</v>
      </c>
      <c r="T108" s="55">
        <f t="shared" si="77"/>
        <v>1735</v>
      </c>
      <c r="U108" s="89">
        <f t="shared" si="78"/>
        <v>165</v>
      </c>
      <c r="V108" s="95">
        <f t="shared" si="79"/>
        <v>1900</v>
      </c>
    </row>
    <row r="109" spans="1:22" ht="12.75">
      <c r="A109" s="16">
        <v>1568</v>
      </c>
      <c r="B109" s="97" t="s">
        <v>135</v>
      </c>
      <c r="C109" s="97">
        <v>846</v>
      </c>
      <c r="D109" s="97">
        <v>144</v>
      </c>
      <c r="E109" s="11">
        <f t="shared" si="65"/>
        <v>864.45126</v>
      </c>
      <c r="F109" s="11">
        <f t="shared" si="65"/>
        <v>147.14064000000002</v>
      </c>
      <c r="G109" s="37">
        <f t="shared" si="66"/>
        <v>1011.5919000000001</v>
      </c>
      <c r="H109" s="47">
        <f t="shared" si="67"/>
        <v>101.15919000000002</v>
      </c>
      <c r="I109" s="11">
        <f t="shared" si="68"/>
        <v>475</v>
      </c>
      <c r="J109" s="47">
        <v>0</v>
      </c>
      <c r="K109" s="14">
        <f t="shared" si="69"/>
        <v>680.22276620915</v>
      </c>
      <c r="L109" s="14">
        <f t="shared" si="70"/>
        <v>2267.97385620915</v>
      </c>
      <c r="M109" s="52">
        <f t="shared" si="71"/>
        <v>249.4771241830065</v>
      </c>
      <c r="N109" s="47">
        <f t="shared" si="72"/>
        <v>68.0392156862745</v>
      </c>
      <c r="O109" s="47">
        <f t="shared" si="72"/>
        <v>68.0392156862745</v>
      </c>
      <c r="P109" s="47">
        <f t="shared" si="73"/>
        <v>45.359477124183</v>
      </c>
      <c r="Q109" s="14">
        <f t="shared" si="74"/>
        <v>102.05882352941175</v>
      </c>
      <c r="R109" s="52">
        <f>SUM(N109:Q109)+M109</f>
        <v>532.9738562091503</v>
      </c>
      <c r="S109" s="52">
        <f>(G109+H109+I109+J109)-((G109+H109+I109+J109)*0.235)</f>
        <v>1214.6295838500002</v>
      </c>
      <c r="T109" s="55">
        <f>L109-R109</f>
        <v>1735</v>
      </c>
      <c r="U109" s="89">
        <f t="shared" si="78"/>
        <v>165</v>
      </c>
      <c r="V109" s="95">
        <f>T109+U109</f>
        <v>1900</v>
      </c>
    </row>
    <row r="110" spans="1:22" ht="12.75">
      <c r="A110" s="16">
        <v>1582</v>
      </c>
      <c r="B110" s="3" t="s">
        <v>24</v>
      </c>
      <c r="C110" s="39">
        <v>704</v>
      </c>
      <c r="D110" s="39">
        <v>200</v>
      </c>
      <c r="E110" s="11">
        <f t="shared" si="65"/>
        <v>719.3542400000001</v>
      </c>
      <c r="F110" s="11">
        <f t="shared" si="65"/>
        <v>204.36200000000002</v>
      </c>
      <c r="G110" s="37">
        <f t="shared" si="66"/>
        <v>923.7162400000002</v>
      </c>
      <c r="H110" s="47">
        <f t="shared" si="67"/>
        <v>92.37162400000003</v>
      </c>
      <c r="I110" s="11">
        <f t="shared" si="68"/>
        <v>475</v>
      </c>
      <c r="J110" s="47">
        <v>0</v>
      </c>
      <c r="K110" s="14">
        <f t="shared" si="69"/>
        <v>776.8859922091501</v>
      </c>
      <c r="L110" s="14">
        <f t="shared" si="70"/>
        <v>2267.97385620915</v>
      </c>
      <c r="M110" s="52">
        <f t="shared" si="71"/>
        <v>249.4771241830065</v>
      </c>
      <c r="N110" s="47">
        <f t="shared" si="72"/>
        <v>68.0392156862745</v>
      </c>
      <c r="O110" s="47">
        <f t="shared" si="72"/>
        <v>68.0392156862745</v>
      </c>
      <c r="P110" s="47">
        <f t="shared" si="73"/>
        <v>45.359477124183</v>
      </c>
      <c r="Q110" s="14">
        <f t="shared" si="74"/>
        <v>102.05882352941175</v>
      </c>
      <c r="R110" s="52">
        <f t="shared" si="75"/>
        <v>532.9738562091503</v>
      </c>
      <c r="S110" s="52">
        <f t="shared" si="76"/>
        <v>1140.6822159600001</v>
      </c>
      <c r="T110" s="55">
        <f t="shared" si="77"/>
        <v>1735</v>
      </c>
      <c r="U110" s="89">
        <f t="shared" si="78"/>
        <v>165</v>
      </c>
      <c r="V110" s="95">
        <f t="shared" si="79"/>
        <v>1900</v>
      </c>
    </row>
    <row r="111" spans="1:22" ht="13.5" thickBot="1">
      <c r="A111" s="17">
        <v>1599</v>
      </c>
      <c r="B111" s="6" t="s">
        <v>44</v>
      </c>
      <c r="C111" s="40">
        <v>47</v>
      </c>
      <c r="D111" s="40">
        <v>8</v>
      </c>
      <c r="E111" s="11">
        <f t="shared" si="65"/>
        <v>48.02507000000001</v>
      </c>
      <c r="F111" s="12">
        <f t="shared" si="65"/>
        <v>8.17448</v>
      </c>
      <c r="G111" s="38">
        <f t="shared" si="66"/>
        <v>56.19955000000001</v>
      </c>
      <c r="H111" s="48">
        <f t="shared" si="67"/>
        <v>5.619955000000001</v>
      </c>
      <c r="I111" s="11">
        <f>$D$10/17</f>
        <v>27.941176470588236</v>
      </c>
      <c r="J111" s="48">
        <v>0</v>
      </c>
      <c r="K111" s="14">
        <f>IF((G111+H111+I111+J111)-((G111+H111+I111+J111)*0.235)&lt;$D$11/15,($D$11/15-((G111+H111+I111+J111)-((G111+H111+I111+J111)*0.235)))/0.765,0)</f>
        <v>61.43757561002179</v>
      </c>
      <c r="L111" s="14">
        <f t="shared" si="70"/>
        <v>151.19825708061003</v>
      </c>
      <c r="M111" s="53">
        <f t="shared" si="71"/>
        <v>16.631808278867105</v>
      </c>
      <c r="N111" s="48">
        <f t="shared" si="72"/>
        <v>4.5359477124183005</v>
      </c>
      <c r="O111" s="48">
        <f t="shared" si="72"/>
        <v>4.5359477124183005</v>
      </c>
      <c r="P111" s="48">
        <f t="shared" si="73"/>
        <v>3.0239651416122006</v>
      </c>
      <c r="Q111" s="15">
        <f t="shared" si="74"/>
        <v>6.803921568627452</v>
      </c>
      <c r="R111" s="53">
        <f t="shared" si="75"/>
        <v>35.53159041394336</v>
      </c>
      <c r="S111" s="52">
        <f t="shared" si="76"/>
        <v>68.666921325</v>
      </c>
      <c r="T111" s="55">
        <f t="shared" si="77"/>
        <v>115.66666666666667</v>
      </c>
      <c r="U111" s="89">
        <f>$D$12/15</f>
        <v>11</v>
      </c>
      <c r="V111" s="95">
        <f t="shared" si="79"/>
        <v>126.66666666666667</v>
      </c>
    </row>
    <row r="112" ht="13.5" thickBot="1"/>
    <row r="113" spans="1:22" ht="20.25">
      <c r="A113" s="176" t="s">
        <v>98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83"/>
      <c r="V113" s="84"/>
    </row>
    <row r="114" spans="1:22" s="13" customFormat="1" ht="12.75" customHeight="1">
      <c r="A114" s="178" t="s">
        <v>1</v>
      </c>
      <c r="B114" s="180" t="s">
        <v>0</v>
      </c>
      <c r="C114" s="180" t="s">
        <v>2</v>
      </c>
      <c r="D114" s="180"/>
      <c r="E114" s="182" t="s">
        <v>61</v>
      </c>
      <c r="F114" s="182" t="s">
        <v>62</v>
      </c>
      <c r="G114" s="184" t="s">
        <v>68</v>
      </c>
      <c r="H114" s="184" t="s">
        <v>66</v>
      </c>
      <c r="I114" s="182" t="s">
        <v>132</v>
      </c>
      <c r="J114" s="184" t="s">
        <v>77</v>
      </c>
      <c r="K114" s="186" t="s">
        <v>118</v>
      </c>
      <c r="L114" s="186" t="s">
        <v>117</v>
      </c>
      <c r="M114" s="188" t="s">
        <v>99</v>
      </c>
      <c r="N114" s="189"/>
      <c r="O114" s="189"/>
      <c r="P114" s="189"/>
      <c r="Q114" s="189"/>
      <c r="R114" s="190" t="s">
        <v>116</v>
      </c>
      <c r="S114" s="190" t="s">
        <v>115</v>
      </c>
      <c r="T114" s="192" t="s">
        <v>114</v>
      </c>
      <c r="U114" s="192" t="s">
        <v>121</v>
      </c>
      <c r="V114" s="192" t="s">
        <v>122</v>
      </c>
    </row>
    <row r="115" spans="1:22" s="13" customFormat="1" ht="78" customHeight="1">
      <c r="A115" s="179"/>
      <c r="B115" s="181"/>
      <c r="C115" s="8" t="s">
        <v>3</v>
      </c>
      <c r="D115" s="8" t="s">
        <v>6</v>
      </c>
      <c r="E115" s="183"/>
      <c r="F115" s="183"/>
      <c r="G115" s="185"/>
      <c r="H115" s="185"/>
      <c r="I115" s="183"/>
      <c r="J115" s="185"/>
      <c r="K115" s="187"/>
      <c r="L115" s="187"/>
      <c r="M115" s="63" t="s">
        <v>101</v>
      </c>
      <c r="N115" s="62" t="s">
        <v>102</v>
      </c>
      <c r="O115" s="62" t="s">
        <v>103</v>
      </c>
      <c r="P115" s="64" t="s">
        <v>104</v>
      </c>
      <c r="Q115" s="64" t="s">
        <v>105</v>
      </c>
      <c r="R115" s="191"/>
      <c r="S115" s="191"/>
      <c r="T115" s="188"/>
      <c r="U115" s="188"/>
      <c r="V115" s="188"/>
    </row>
    <row r="116" spans="1:22" ht="12.75">
      <c r="A116" s="16">
        <v>5014</v>
      </c>
      <c r="B116" s="3" t="s">
        <v>45</v>
      </c>
      <c r="C116" s="39">
        <v>1679</v>
      </c>
      <c r="D116" s="39">
        <v>301</v>
      </c>
      <c r="E116" s="11">
        <f aca="true" t="shared" si="80" ref="E116:F122">C116*$D$168</f>
        <v>1715.6189900000002</v>
      </c>
      <c r="F116" s="11">
        <f t="shared" si="80"/>
        <v>307.56481</v>
      </c>
      <c r="G116" s="37">
        <f aca="true" t="shared" si="81" ref="G116:G122">F116+E116</f>
        <v>2023.1838000000002</v>
      </c>
      <c r="H116" s="47">
        <f aca="true" t="shared" si="82" ref="H116:H122">G116*0.1</f>
        <v>202.31838000000005</v>
      </c>
      <c r="I116" s="11">
        <f aca="true" t="shared" si="83" ref="I116:I122">$D$10</f>
        <v>475</v>
      </c>
      <c r="J116" s="47">
        <v>0</v>
      </c>
      <c r="K116" s="14">
        <f aca="true" t="shared" si="84" ref="K116:K122">IF((G116+H116+I116+J116)-((G116+H116+I116+J116)*0.235)&lt;$D$11,($D$11-((G116+H116+I116+J116)-((G116+H116+I116+J116)*0.235)))/0.765,0)</f>
        <v>0</v>
      </c>
      <c r="L116" s="14">
        <f aca="true" t="shared" si="85" ref="L116:L122">SUM(G116:K116)</f>
        <v>2700.5021800000004</v>
      </c>
      <c r="M116" s="52">
        <f aca="true" t="shared" si="86" ref="M116:M122">$L116*11%</f>
        <v>297.05523980000004</v>
      </c>
      <c r="N116" s="47">
        <f aca="true" t="shared" si="87" ref="N116:O122">$L116*3%</f>
        <v>81.01506540000001</v>
      </c>
      <c r="O116" s="47">
        <f t="shared" si="87"/>
        <v>81.01506540000001</v>
      </c>
      <c r="P116" s="47">
        <f aca="true" t="shared" si="88" ref="P116:P122">$L116*2%</f>
        <v>54.01004360000001</v>
      </c>
      <c r="Q116" s="14">
        <f aca="true" t="shared" si="89" ref="Q116:Q122">$L116*4.5%</f>
        <v>121.52259810000001</v>
      </c>
      <c r="R116" s="52">
        <f aca="true" t="shared" si="90" ref="R116:R122">SUM(N116:Q116)+M116</f>
        <v>634.6180123000001</v>
      </c>
      <c r="S116" s="52">
        <f aca="true" t="shared" si="91" ref="S116:S122">(G116+H116+I116+J116)-((G116+H116+I116+J116)*0.235)</f>
        <v>2065.8841677000005</v>
      </c>
      <c r="T116" s="55">
        <f aca="true" t="shared" si="92" ref="T116:T122">L116-R116</f>
        <v>2065.8841677</v>
      </c>
      <c r="U116" s="89">
        <f aca="true" t="shared" si="93" ref="U116:U122">$D$12</f>
        <v>165</v>
      </c>
      <c r="V116" s="95">
        <f aca="true" t="shared" si="94" ref="V116:V122">T116+U116</f>
        <v>2230.8841677</v>
      </c>
    </row>
    <row r="117" spans="1:22" ht="12.75">
      <c r="A117" s="16">
        <v>5013</v>
      </c>
      <c r="B117" s="3" t="s">
        <v>75</v>
      </c>
      <c r="C117" s="39">
        <v>1679</v>
      </c>
      <c r="D117" s="39">
        <v>301</v>
      </c>
      <c r="E117" s="11">
        <f t="shared" si="80"/>
        <v>1715.6189900000002</v>
      </c>
      <c r="F117" s="11">
        <f t="shared" si="80"/>
        <v>307.56481</v>
      </c>
      <c r="G117" s="37">
        <f t="shared" si="81"/>
        <v>2023.1838000000002</v>
      </c>
      <c r="H117" s="47">
        <f t="shared" si="82"/>
        <v>202.31838000000005</v>
      </c>
      <c r="I117" s="11">
        <f t="shared" si="83"/>
        <v>475</v>
      </c>
      <c r="J117" s="47">
        <v>0</v>
      </c>
      <c r="K117" s="14">
        <f t="shared" si="84"/>
        <v>0</v>
      </c>
      <c r="L117" s="14">
        <f t="shared" si="85"/>
        <v>2700.5021800000004</v>
      </c>
      <c r="M117" s="52">
        <f t="shared" si="86"/>
        <v>297.05523980000004</v>
      </c>
      <c r="N117" s="47">
        <f t="shared" si="87"/>
        <v>81.01506540000001</v>
      </c>
      <c r="O117" s="47">
        <f t="shared" si="87"/>
        <v>81.01506540000001</v>
      </c>
      <c r="P117" s="47">
        <f t="shared" si="88"/>
        <v>54.01004360000001</v>
      </c>
      <c r="Q117" s="14">
        <f t="shared" si="89"/>
        <v>121.52259810000001</v>
      </c>
      <c r="R117" s="52">
        <f t="shared" si="90"/>
        <v>634.6180123000001</v>
      </c>
      <c r="S117" s="52">
        <f t="shared" si="91"/>
        <v>2065.8841677000005</v>
      </c>
      <c r="T117" s="55">
        <f t="shared" si="92"/>
        <v>2065.8841677</v>
      </c>
      <c r="U117" s="89">
        <f t="shared" si="93"/>
        <v>165</v>
      </c>
      <c r="V117" s="95">
        <f t="shared" si="94"/>
        <v>2230.8841677</v>
      </c>
    </row>
    <row r="118" spans="1:22" ht="12.75">
      <c r="A118" s="16">
        <v>5033</v>
      </c>
      <c r="B118" s="3" t="s">
        <v>46</v>
      </c>
      <c r="C118" s="39">
        <v>753</v>
      </c>
      <c r="D118" s="39">
        <v>327</v>
      </c>
      <c r="E118" s="11">
        <f t="shared" si="80"/>
        <v>769.4229300000001</v>
      </c>
      <c r="F118" s="11">
        <f t="shared" si="80"/>
        <v>334.13187000000005</v>
      </c>
      <c r="G118" s="37">
        <f t="shared" si="81"/>
        <v>1103.5548000000001</v>
      </c>
      <c r="H118" s="47">
        <f t="shared" si="82"/>
        <v>110.35548000000001</v>
      </c>
      <c r="I118" s="11">
        <f t="shared" si="83"/>
        <v>475</v>
      </c>
      <c r="J118" s="47">
        <v>0</v>
      </c>
      <c r="K118" s="14">
        <f t="shared" si="84"/>
        <v>579.0635762091504</v>
      </c>
      <c r="L118" s="14">
        <f t="shared" si="85"/>
        <v>2267.9738562091507</v>
      </c>
      <c r="M118" s="52">
        <f t="shared" si="86"/>
        <v>249.47712418300657</v>
      </c>
      <c r="N118" s="47">
        <f t="shared" si="87"/>
        <v>68.03921568627452</v>
      </c>
      <c r="O118" s="47">
        <f t="shared" si="87"/>
        <v>68.03921568627452</v>
      </c>
      <c r="P118" s="47">
        <f t="shared" si="88"/>
        <v>45.359477124183016</v>
      </c>
      <c r="Q118" s="14">
        <f t="shared" si="89"/>
        <v>102.05882352941178</v>
      </c>
      <c r="R118" s="52">
        <f t="shared" si="90"/>
        <v>532.9738562091504</v>
      </c>
      <c r="S118" s="52">
        <f t="shared" si="91"/>
        <v>1292.0163642</v>
      </c>
      <c r="T118" s="55">
        <f t="shared" si="92"/>
        <v>1735.0000000000002</v>
      </c>
      <c r="U118" s="89">
        <f t="shared" si="93"/>
        <v>165</v>
      </c>
      <c r="V118" s="95">
        <f t="shared" si="94"/>
        <v>1900.0000000000002</v>
      </c>
    </row>
    <row r="119" spans="1:22" ht="12.75">
      <c r="A119" s="16">
        <v>5029</v>
      </c>
      <c r="B119" s="3" t="s">
        <v>47</v>
      </c>
      <c r="C119" s="39">
        <v>753</v>
      </c>
      <c r="D119" s="39">
        <v>231</v>
      </c>
      <c r="E119" s="11">
        <f t="shared" si="80"/>
        <v>769.4229300000001</v>
      </c>
      <c r="F119" s="11">
        <f t="shared" si="80"/>
        <v>236.03811000000002</v>
      </c>
      <c r="G119" s="37">
        <f t="shared" si="81"/>
        <v>1005.4610400000001</v>
      </c>
      <c r="H119" s="47">
        <f t="shared" si="82"/>
        <v>100.54610400000001</v>
      </c>
      <c r="I119" s="11">
        <f t="shared" si="83"/>
        <v>475</v>
      </c>
      <c r="J119" s="47">
        <v>0</v>
      </c>
      <c r="K119" s="14">
        <f t="shared" si="84"/>
        <v>686.9667122091503</v>
      </c>
      <c r="L119" s="14">
        <f t="shared" si="85"/>
        <v>2267.9738562091507</v>
      </c>
      <c r="M119" s="52">
        <f t="shared" si="86"/>
        <v>249.47712418300657</v>
      </c>
      <c r="N119" s="47">
        <f t="shared" si="87"/>
        <v>68.03921568627452</v>
      </c>
      <c r="O119" s="47">
        <f t="shared" si="87"/>
        <v>68.03921568627452</v>
      </c>
      <c r="P119" s="47">
        <f t="shared" si="88"/>
        <v>45.359477124183016</v>
      </c>
      <c r="Q119" s="14">
        <f t="shared" si="89"/>
        <v>102.05882352941178</v>
      </c>
      <c r="R119" s="52">
        <f t="shared" si="90"/>
        <v>532.9738562091504</v>
      </c>
      <c r="S119" s="52">
        <f t="shared" si="91"/>
        <v>1209.47046516</v>
      </c>
      <c r="T119" s="55">
        <f t="shared" si="92"/>
        <v>1735.0000000000002</v>
      </c>
      <c r="U119" s="89">
        <f t="shared" si="93"/>
        <v>165</v>
      </c>
      <c r="V119" s="95">
        <f t="shared" si="94"/>
        <v>1900.0000000000002</v>
      </c>
    </row>
    <row r="120" spans="1:22" ht="12.75">
      <c r="A120" s="16">
        <v>5028</v>
      </c>
      <c r="B120" s="3" t="s">
        <v>48</v>
      </c>
      <c r="C120" s="39">
        <v>800</v>
      </c>
      <c r="D120" s="39">
        <v>280</v>
      </c>
      <c r="E120" s="11">
        <f t="shared" si="80"/>
        <v>817.4480000000001</v>
      </c>
      <c r="F120" s="11">
        <f t="shared" si="80"/>
        <v>286.1068</v>
      </c>
      <c r="G120" s="37">
        <f t="shared" si="81"/>
        <v>1103.5548000000001</v>
      </c>
      <c r="H120" s="47">
        <f t="shared" si="82"/>
        <v>110.35548000000001</v>
      </c>
      <c r="I120" s="11">
        <f t="shared" si="83"/>
        <v>475</v>
      </c>
      <c r="J120" s="47">
        <v>0</v>
      </c>
      <c r="K120" s="14">
        <f t="shared" si="84"/>
        <v>579.0635762091504</v>
      </c>
      <c r="L120" s="14">
        <f t="shared" si="85"/>
        <v>2267.9738562091507</v>
      </c>
      <c r="M120" s="52">
        <f t="shared" si="86"/>
        <v>249.47712418300657</v>
      </c>
      <c r="N120" s="47">
        <f t="shared" si="87"/>
        <v>68.03921568627452</v>
      </c>
      <c r="O120" s="47">
        <f t="shared" si="87"/>
        <v>68.03921568627452</v>
      </c>
      <c r="P120" s="47">
        <f t="shared" si="88"/>
        <v>45.359477124183016</v>
      </c>
      <c r="Q120" s="14">
        <f t="shared" si="89"/>
        <v>102.05882352941178</v>
      </c>
      <c r="R120" s="52">
        <f t="shared" si="90"/>
        <v>532.9738562091504</v>
      </c>
      <c r="S120" s="52">
        <f t="shared" si="91"/>
        <v>1292.0163642</v>
      </c>
      <c r="T120" s="55">
        <f t="shared" si="92"/>
        <v>1735.0000000000002</v>
      </c>
      <c r="U120" s="89">
        <f t="shared" si="93"/>
        <v>165</v>
      </c>
      <c r="V120" s="95">
        <f t="shared" si="94"/>
        <v>1900.0000000000002</v>
      </c>
    </row>
    <row r="121" spans="1:22" ht="12.75">
      <c r="A121" s="16">
        <v>5035</v>
      </c>
      <c r="B121" s="3" t="s">
        <v>49</v>
      </c>
      <c r="C121" s="39">
        <v>704</v>
      </c>
      <c r="D121" s="39">
        <v>208</v>
      </c>
      <c r="E121" s="11">
        <f t="shared" si="80"/>
        <v>719.3542400000001</v>
      </c>
      <c r="F121" s="11">
        <f t="shared" si="80"/>
        <v>212.53648</v>
      </c>
      <c r="G121" s="37">
        <f t="shared" si="81"/>
        <v>931.8907200000001</v>
      </c>
      <c r="H121" s="47">
        <f t="shared" si="82"/>
        <v>93.18907200000001</v>
      </c>
      <c r="I121" s="11">
        <f t="shared" si="83"/>
        <v>475</v>
      </c>
      <c r="J121" s="47">
        <v>0</v>
      </c>
      <c r="K121" s="14">
        <f t="shared" si="84"/>
        <v>767.8940642091502</v>
      </c>
      <c r="L121" s="14">
        <f t="shared" si="85"/>
        <v>2267.97385620915</v>
      </c>
      <c r="M121" s="52">
        <f t="shared" si="86"/>
        <v>249.4771241830065</v>
      </c>
      <c r="N121" s="47">
        <f t="shared" si="87"/>
        <v>68.0392156862745</v>
      </c>
      <c r="O121" s="47">
        <f t="shared" si="87"/>
        <v>68.0392156862745</v>
      </c>
      <c r="P121" s="47">
        <f t="shared" si="88"/>
        <v>45.359477124183</v>
      </c>
      <c r="Q121" s="14">
        <f t="shared" si="89"/>
        <v>102.05882352941175</v>
      </c>
      <c r="R121" s="52">
        <f t="shared" si="90"/>
        <v>532.9738562091503</v>
      </c>
      <c r="S121" s="52">
        <f t="shared" si="91"/>
        <v>1147.56104088</v>
      </c>
      <c r="T121" s="55">
        <f t="shared" si="92"/>
        <v>1735</v>
      </c>
      <c r="U121" s="89">
        <f t="shared" si="93"/>
        <v>165</v>
      </c>
      <c r="V121" s="95">
        <f t="shared" si="94"/>
        <v>1900</v>
      </c>
    </row>
    <row r="122" spans="1:22" ht="13.5" thickBot="1">
      <c r="A122" s="17">
        <v>5051</v>
      </c>
      <c r="B122" s="6" t="s">
        <v>50</v>
      </c>
      <c r="C122" s="40">
        <v>564</v>
      </c>
      <c r="D122" s="40">
        <v>300</v>
      </c>
      <c r="E122" s="12">
        <f t="shared" si="80"/>
        <v>576.3008400000001</v>
      </c>
      <c r="F122" s="12">
        <f t="shared" si="80"/>
        <v>306.543</v>
      </c>
      <c r="G122" s="38">
        <f t="shared" si="81"/>
        <v>882.8438400000001</v>
      </c>
      <c r="H122" s="48">
        <f t="shared" si="82"/>
        <v>88.28438400000002</v>
      </c>
      <c r="I122" s="11">
        <f t="shared" si="83"/>
        <v>475</v>
      </c>
      <c r="J122" s="48">
        <v>0</v>
      </c>
      <c r="K122" s="14">
        <f t="shared" si="84"/>
        <v>821.84563220915</v>
      </c>
      <c r="L122" s="14">
        <f t="shared" si="85"/>
        <v>2267.97385620915</v>
      </c>
      <c r="M122" s="53">
        <f t="shared" si="86"/>
        <v>249.4771241830065</v>
      </c>
      <c r="N122" s="48">
        <f t="shared" si="87"/>
        <v>68.0392156862745</v>
      </c>
      <c r="O122" s="48">
        <f t="shared" si="87"/>
        <v>68.0392156862745</v>
      </c>
      <c r="P122" s="48">
        <f t="shared" si="88"/>
        <v>45.359477124183</v>
      </c>
      <c r="Q122" s="15">
        <f t="shared" si="89"/>
        <v>102.05882352941175</v>
      </c>
      <c r="R122" s="53">
        <f t="shared" si="90"/>
        <v>532.9738562091503</v>
      </c>
      <c r="S122" s="52">
        <f t="shared" si="91"/>
        <v>1106.2880913600002</v>
      </c>
      <c r="T122" s="55">
        <f t="shared" si="92"/>
        <v>1735</v>
      </c>
      <c r="U122" s="89">
        <f t="shared" si="93"/>
        <v>165</v>
      </c>
      <c r="V122" s="95">
        <f t="shared" si="94"/>
        <v>1900</v>
      </c>
    </row>
    <row r="123" ht="13.5" thickBot="1"/>
    <row r="124" spans="1:22" ht="20.25">
      <c r="A124" s="176" t="s">
        <v>51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83"/>
      <c r="V124" s="84"/>
    </row>
    <row r="125" spans="1:22" s="13" customFormat="1" ht="12.75" customHeight="1">
      <c r="A125" s="178" t="s">
        <v>1</v>
      </c>
      <c r="B125" s="180" t="s">
        <v>0</v>
      </c>
      <c r="C125" s="180" t="s">
        <v>2</v>
      </c>
      <c r="D125" s="180"/>
      <c r="E125" s="182" t="s">
        <v>61</v>
      </c>
      <c r="F125" s="182" t="s">
        <v>62</v>
      </c>
      <c r="G125" s="184" t="s">
        <v>68</v>
      </c>
      <c r="H125" s="184" t="s">
        <v>66</v>
      </c>
      <c r="I125" s="182" t="s">
        <v>132</v>
      </c>
      <c r="J125" s="184" t="s">
        <v>77</v>
      </c>
      <c r="K125" s="186" t="s">
        <v>118</v>
      </c>
      <c r="L125" s="186" t="s">
        <v>117</v>
      </c>
      <c r="M125" s="188" t="s">
        <v>99</v>
      </c>
      <c r="N125" s="189"/>
      <c r="O125" s="189"/>
      <c r="P125" s="189"/>
      <c r="Q125" s="189"/>
      <c r="R125" s="190" t="s">
        <v>116</v>
      </c>
      <c r="S125" s="190" t="s">
        <v>115</v>
      </c>
      <c r="T125" s="192" t="s">
        <v>114</v>
      </c>
      <c r="U125" s="192" t="s">
        <v>121</v>
      </c>
      <c r="V125" s="192" t="s">
        <v>122</v>
      </c>
    </row>
    <row r="126" spans="1:22" s="13" customFormat="1" ht="78" customHeight="1">
      <c r="A126" s="179"/>
      <c r="B126" s="181"/>
      <c r="C126" s="8" t="s">
        <v>3</v>
      </c>
      <c r="D126" s="8" t="s">
        <v>6</v>
      </c>
      <c r="E126" s="183"/>
      <c r="F126" s="183"/>
      <c r="G126" s="185"/>
      <c r="H126" s="185"/>
      <c r="I126" s="183"/>
      <c r="J126" s="185"/>
      <c r="K126" s="187"/>
      <c r="L126" s="187"/>
      <c r="M126" s="63" t="s">
        <v>101</v>
      </c>
      <c r="N126" s="62" t="s">
        <v>102</v>
      </c>
      <c r="O126" s="62" t="s">
        <v>103</v>
      </c>
      <c r="P126" s="64" t="s">
        <v>104</v>
      </c>
      <c r="Q126" s="64" t="s">
        <v>105</v>
      </c>
      <c r="R126" s="191"/>
      <c r="S126" s="191"/>
      <c r="T126" s="188"/>
      <c r="U126" s="188"/>
      <c r="V126" s="188"/>
    </row>
    <row r="127" spans="1:22" ht="12.75">
      <c r="A127" s="18">
        <v>5080</v>
      </c>
      <c r="B127" s="4" t="s">
        <v>36</v>
      </c>
      <c r="C127" s="43">
        <v>2100</v>
      </c>
      <c r="D127" s="43">
        <v>326</v>
      </c>
      <c r="E127" s="11">
        <f aca="true" t="shared" si="95" ref="E127:F136">C127*$D$168</f>
        <v>2145.8010000000004</v>
      </c>
      <c r="F127" s="11">
        <f t="shared" si="95"/>
        <v>333.11006000000003</v>
      </c>
      <c r="G127" s="37">
        <f aca="true" t="shared" si="96" ref="G127:G136">F127+E127</f>
        <v>2478.9110600000004</v>
      </c>
      <c r="H127" s="47">
        <f aca="true" t="shared" si="97" ref="H127:H136">G127*0.1</f>
        <v>247.89110600000004</v>
      </c>
      <c r="I127" s="11">
        <f>$D$10*2</f>
        <v>950</v>
      </c>
      <c r="J127" s="47">
        <v>0</v>
      </c>
      <c r="K127" s="14">
        <f aca="true" t="shared" si="98" ref="K127:K132">IF((G127+H127+I127+J127)-((G127+H127+I127+J127)*0.235)&lt;$D$11,($D$11-((G127+H127+I127+J127)-((G127+H127+I127+J127)*0.235)))/0.765,0)</f>
        <v>0</v>
      </c>
      <c r="L127" s="14">
        <f aca="true" t="shared" si="99" ref="L127:L136">SUM(G127:K127)</f>
        <v>3676.8021660000004</v>
      </c>
      <c r="M127" s="52">
        <f aca="true" t="shared" si="100" ref="M127:M136">$L127*11%</f>
        <v>404.44823826000004</v>
      </c>
      <c r="N127" s="47">
        <f aca="true" t="shared" si="101" ref="N127:O136">$L127*3%</f>
        <v>110.30406498</v>
      </c>
      <c r="O127" s="47">
        <f t="shared" si="101"/>
        <v>110.30406498</v>
      </c>
      <c r="P127" s="47">
        <f aca="true" t="shared" si="102" ref="P127:P136">$L127*2%</f>
        <v>73.53604332</v>
      </c>
      <c r="Q127" s="14">
        <f aca="true" t="shared" si="103" ref="Q127:Q136">$L127*4.5%</f>
        <v>165.45609747</v>
      </c>
      <c r="R127" s="52">
        <f aca="true" t="shared" si="104" ref="R127:R136">SUM(N127:Q127)+M127</f>
        <v>864.0485090100001</v>
      </c>
      <c r="S127" s="52">
        <f aca="true" t="shared" si="105" ref="S127:S136">(G127+H127+I127+J127)-((G127+H127+I127+J127)*0.235)</f>
        <v>2812.7536569900003</v>
      </c>
      <c r="T127" s="55">
        <f aca="true" t="shared" si="106" ref="T127:T136">L127-R127</f>
        <v>2812.7536569900003</v>
      </c>
      <c r="U127" s="89">
        <v>330</v>
      </c>
      <c r="V127" s="95">
        <f aca="true" t="shared" si="107" ref="V127:V136">T127+U127</f>
        <v>3142.7536569900003</v>
      </c>
    </row>
    <row r="128" spans="1:22" ht="12.75">
      <c r="A128" s="18">
        <v>5081</v>
      </c>
      <c r="B128" s="4" t="s">
        <v>112</v>
      </c>
      <c r="C128" s="43">
        <v>1763</v>
      </c>
      <c r="D128" s="43">
        <v>436</v>
      </c>
      <c r="E128" s="11">
        <f t="shared" si="95"/>
        <v>1801.4510300000002</v>
      </c>
      <c r="F128" s="11">
        <f t="shared" si="95"/>
        <v>445.50916000000007</v>
      </c>
      <c r="G128" s="37">
        <f t="shared" si="96"/>
        <v>2246.9601900000002</v>
      </c>
      <c r="H128" s="47">
        <f t="shared" si="97"/>
        <v>224.69601900000004</v>
      </c>
      <c r="I128" s="11">
        <f>$D$10*2</f>
        <v>950</v>
      </c>
      <c r="J128" s="47">
        <v>0</v>
      </c>
      <c r="K128" s="14">
        <f t="shared" si="98"/>
        <v>0</v>
      </c>
      <c r="L128" s="14">
        <f t="shared" si="99"/>
        <v>3421.656209</v>
      </c>
      <c r="M128" s="52">
        <f t="shared" si="100"/>
        <v>376.38218299000005</v>
      </c>
      <c r="N128" s="47">
        <f t="shared" si="101"/>
        <v>102.64968627</v>
      </c>
      <c r="O128" s="47">
        <f t="shared" si="101"/>
        <v>102.64968627</v>
      </c>
      <c r="P128" s="47">
        <f t="shared" si="102"/>
        <v>68.43312418000001</v>
      </c>
      <c r="Q128" s="14">
        <f t="shared" si="103"/>
        <v>153.974529405</v>
      </c>
      <c r="R128" s="52">
        <f t="shared" si="104"/>
        <v>804.0892091150001</v>
      </c>
      <c r="S128" s="52">
        <f t="shared" si="105"/>
        <v>2617.5669998850003</v>
      </c>
      <c r="T128" s="55">
        <f t="shared" si="106"/>
        <v>2617.566999885</v>
      </c>
      <c r="U128" s="89">
        <v>330</v>
      </c>
      <c r="V128" s="95">
        <f t="shared" si="107"/>
        <v>2947.566999885</v>
      </c>
    </row>
    <row r="129" spans="1:22" ht="12.75">
      <c r="A129" s="18">
        <v>1503</v>
      </c>
      <c r="B129" s="4" t="s">
        <v>109</v>
      </c>
      <c r="C129" s="43">
        <v>1692</v>
      </c>
      <c r="D129" s="43">
        <v>216</v>
      </c>
      <c r="E129" s="11">
        <f t="shared" si="95"/>
        <v>1728.90252</v>
      </c>
      <c r="F129" s="11">
        <f t="shared" si="95"/>
        <v>220.71096000000003</v>
      </c>
      <c r="G129" s="37">
        <f t="shared" si="96"/>
        <v>1949.6134800000002</v>
      </c>
      <c r="H129" s="47">
        <f t="shared" si="97"/>
        <v>194.96134800000004</v>
      </c>
      <c r="I129" s="11">
        <f>$D$10*2</f>
        <v>950</v>
      </c>
      <c r="J129" s="47">
        <v>0</v>
      </c>
      <c r="K129" s="14">
        <f t="shared" si="98"/>
        <v>0</v>
      </c>
      <c r="L129" s="14">
        <f t="shared" si="99"/>
        <v>3094.5748280000003</v>
      </c>
      <c r="M129" s="52">
        <f t="shared" si="100"/>
        <v>340.40323108</v>
      </c>
      <c r="N129" s="47">
        <f t="shared" si="101"/>
        <v>92.83724484000001</v>
      </c>
      <c r="O129" s="47">
        <f t="shared" si="101"/>
        <v>92.83724484000001</v>
      </c>
      <c r="P129" s="47">
        <f t="shared" si="102"/>
        <v>61.89149656000001</v>
      </c>
      <c r="Q129" s="14">
        <f t="shared" si="103"/>
        <v>139.25586726</v>
      </c>
      <c r="R129" s="52">
        <f t="shared" si="104"/>
        <v>727.22508458</v>
      </c>
      <c r="S129" s="52">
        <f t="shared" si="105"/>
        <v>2367.3497434200003</v>
      </c>
      <c r="T129" s="55">
        <f t="shared" si="106"/>
        <v>2367.3497434200003</v>
      </c>
      <c r="U129" s="89">
        <v>330</v>
      </c>
      <c r="V129" s="95">
        <f t="shared" si="107"/>
        <v>2697.3497434200003</v>
      </c>
    </row>
    <row r="130" spans="1:22" ht="12.75">
      <c r="A130" s="19">
        <v>5089</v>
      </c>
      <c r="B130" s="5" t="s">
        <v>110</v>
      </c>
      <c r="C130" s="44">
        <v>846</v>
      </c>
      <c r="D130" s="44">
        <v>144</v>
      </c>
      <c r="E130" s="11">
        <f t="shared" si="95"/>
        <v>864.45126</v>
      </c>
      <c r="F130" s="11">
        <f t="shared" si="95"/>
        <v>147.14064000000002</v>
      </c>
      <c r="G130" s="37">
        <f t="shared" si="96"/>
        <v>1011.5919000000001</v>
      </c>
      <c r="H130" s="47">
        <f t="shared" si="97"/>
        <v>101.15919000000002</v>
      </c>
      <c r="I130" s="74">
        <f>$D$10</f>
        <v>475</v>
      </c>
      <c r="J130" s="47">
        <v>0</v>
      </c>
      <c r="K130" s="76">
        <f t="shared" si="98"/>
        <v>680.22276620915</v>
      </c>
      <c r="L130" s="14">
        <f t="shared" si="99"/>
        <v>2267.97385620915</v>
      </c>
      <c r="M130" s="52">
        <f t="shared" si="100"/>
        <v>249.4771241830065</v>
      </c>
      <c r="N130" s="47">
        <f t="shared" si="101"/>
        <v>68.0392156862745</v>
      </c>
      <c r="O130" s="47">
        <f t="shared" si="101"/>
        <v>68.0392156862745</v>
      </c>
      <c r="P130" s="47">
        <f t="shared" si="102"/>
        <v>45.359477124183</v>
      </c>
      <c r="Q130" s="14">
        <f t="shared" si="103"/>
        <v>102.05882352941175</v>
      </c>
      <c r="R130" s="52">
        <f t="shared" si="104"/>
        <v>532.9738562091503</v>
      </c>
      <c r="S130" s="52">
        <f t="shared" si="105"/>
        <v>1214.6295838500002</v>
      </c>
      <c r="T130" s="55">
        <f t="shared" si="106"/>
        <v>1735</v>
      </c>
      <c r="U130" s="89">
        <f>$D$12</f>
        <v>165</v>
      </c>
      <c r="V130" s="95">
        <f t="shared" si="107"/>
        <v>1900</v>
      </c>
    </row>
    <row r="131" spans="1:22" ht="12.75">
      <c r="A131" s="19">
        <v>5088</v>
      </c>
      <c r="B131" s="5" t="s">
        <v>111</v>
      </c>
      <c r="C131" s="44">
        <v>695</v>
      </c>
      <c r="D131" s="44">
        <v>128</v>
      </c>
      <c r="E131" s="11">
        <f t="shared" si="95"/>
        <v>710.15795</v>
      </c>
      <c r="F131" s="11">
        <f t="shared" si="95"/>
        <v>130.79168</v>
      </c>
      <c r="G131" s="37">
        <f t="shared" si="96"/>
        <v>840.9496300000001</v>
      </c>
      <c r="H131" s="47">
        <f t="shared" si="97"/>
        <v>84.094963</v>
      </c>
      <c r="I131" s="11">
        <f>$D$10</f>
        <v>475</v>
      </c>
      <c r="J131" s="47">
        <v>0</v>
      </c>
      <c r="K131" s="14">
        <f t="shared" si="98"/>
        <v>867.9292632091501</v>
      </c>
      <c r="L131" s="14">
        <f t="shared" si="99"/>
        <v>2267.97385620915</v>
      </c>
      <c r="M131" s="52">
        <f t="shared" si="100"/>
        <v>249.4771241830065</v>
      </c>
      <c r="N131" s="47">
        <f t="shared" si="101"/>
        <v>68.0392156862745</v>
      </c>
      <c r="O131" s="47">
        <f t="shared" si="101"/>
        <v>68.0392156862745</v>
      </c>
      <c r="P131" s="47">
        <f t="shared" si="102"/>
        <v>45.359477124183</v>
      </c>
      <c r="Q131" s="14">
        <f t="shared" si="103"/>
        <v>102.05882352941175</v>
      </c>
      <c r="R131" s="52">
        <f t="shared" si="104"/>
        <v>532.9738562091503</v>
      </c>
      <c r="S131" s="52">
        <f t="shared" si="105"/>
        <v>1071.0341136450002</v>
      </c>
      <c r="T131" s="55">
        <f t="shared" si="106"/>
        <v>1735</v>
      </c>
      <c r="U131" s="89">
        <f>$D$12</f>
        <v>165</v>
      </c>
      <c r="V131" s="95">
        <f t="shared" si="107"/>
        <v>1900</v>
      </c>
    </row>
    <row r="132" spans="1:22" ht="12.75">
      <c r="A132" s="19">
        <v>1504</v>
      </c>
      <c r="B132" s="5" t="s">
        <v>52</v>
      </c>
      <c r="C132" s="44">
        <v>1692</v>
      </c>
      <c r="D132" s="44">
        <v>288</v>
      </c>
      <c r="E132" s="11">
        <f t="shared" si="95"/>
        <v>1728.90252</v>
      </c>
      <c r="F132" s="11">
        <f t="shared" si="95"/>
        <v>294.28128000000004</v>
      </c>
      <c r="G132" s="37">
        <f t="shared" si="96"/>
        <v>2023.1838000000002</v>
      </c>
      <c r="H132" s="47">
        <f t="shared" si="97"/>
        <v>202.31838000000005</v>
      </c>
      <c r="I132" s="74">
        <f>$D$10*2</f>
        <v>950</v>
      </c>
      <c r="J132" s="47">
        <v>0</v>
      </c>
      <c r="K132" s="14">
        <f t="shared" si="98"/>
        <v>0</v>
      </c>
      <c r="L132" s="14">
        <f t="shared" si="99"/>
        <v>3175.5021800000004</v>
      </c>
      <c r="M132" s="52">
        <f t="shared" si="100"/>
        <v>349.30523980000004</v>
      </c>
      <c r="N132" s="47">
        <f t="shared" si="101"/>
        <v>95.26506540000001</v>
      </c>
      <c r="O132" s="47">
        <f t="shared" si="101"/>
        <v>95.26506540000001</v>
      </c>
      <c r="P132" s="47">
        <f t="shared" si="102"/>
        <v>63.51004360000001</v>
      </c>
      <c r="Q132" s="14">
        <f t="shared" si="103"/>
        <v>142.8975981</v>
      </c>
      <c r="R132" s="52">
        <f t="shared" si="104"/>
        <v>746.2430123000001</v>
      </c>
      <c r="S132" s="52">
        <f t="shared" si="105"/>
        <v>2429.2591677000005</v>
      </c>
      <c r="T132" s="55">
        <f t="shared" si="106"/>
        <v>2429.2591677</v>
      </c>
      <c r="U132" s="89">
        <v>330</v>
      </c>
      <c r="V132" s="95">
        <f t="shared" si="107"/>
        <v>2759.2591677</v>
      </c>
    </row>
    <row r="133" spans="1:22" ht="12.75">
      <c r="A133" s="19">
        <v>1507</v>
      </c>
      <c r="B133" s="5" t="s">
        <v>92</v>
      </c>
      <c r="C133" s="44">
        <v>1410</v>
      </c>
      <c r="D133" s="44">
        <v>240</v>
      </c>
      <c r="E133" s="11">
        <f t="shared" si="95"/>
        <v>1440.7521000000002</v>
      </c>
      <c r="F133" s="11">
        <f t="shared" si="95"/>
        <v>245.23440000000002</v>
      </c>
      <c r="G133" s="37">
        <f t="shared" si="96"/>
        <v>1685.9865000000002</v>
      </c>
      <c r="H133" s="47">
        <f t="shared" si="97"/>
        <v>168.59865000000002</v>
      </c>
      <c r="I133" s="75">
        <f>$D$10/17*30</f>
        <v>838.2352941176471</v>
      </c>
      <c r="J133" s="47">
        <v>0</v>
      </c>
      <c r="K133" s="14">
        <f>IF((G133+H133+I133+J133)-((G133+H133+I133+J133)*0.235)&lt;$D$11/30*30,($D$11/30*30-((G133+H133+I133+J133)-((G133+H133+I133+J133)*0.235)))/0.765,0)</f>
        <v>0</v>
      </c>
      <c r="L133" s="14">
        <f t="shared" si="99"/>
        <v>2692.8204441176476</v>
      </c>
      <c r="M133" s="52">
        <f t="shared" si="100"/>
        <v>296.2102488529412</v>
      </c>
      <c r="N133" s="47">
        <f t="shared" si="101"/>
        <v>80.78461332352943</v>
      </c>
      <c r="O133" s="47">
        <f t="shared" si="101"/>
        <v>80.78461332352943</v>
      </c>
      <c r="P133" s="47">
        <f t="shared" si="102"/>
        <v>53.85640888235295</v>
      </c>
      <c r="Q133" s="14">
        <f t="shared" si="103"/>
        <v>121.17691998529413</v>
      </c>
      <c r="R133" s="52">
        <f t="shared" si="104"/>
        <v>632.8128043676472</v>
      </c>
      <c r="S133" s="52">
        <f t="shared" si="105"/>
        <v>2060.0076397500006</v>
      </c>
      <c r="T133" s="55">
        <f t="shared" si="106"/>
        <v>2060.0076397500006</v>
      </c>
      <c r="U133" s="89">
        <v>330</v>
      </c>
      <c r="V133" s="95">
        <f t="shared" si="107"/>
        <v>2390.0076397500006</v>
      </c>
    </row>
    <row r="134" spans="1:22" ht="12.75">
      <c r="A134" s="19">
        <v>1528</v>
      </c>
      <c r="B134" s="5" t="s">
        <v>93</v>
      </c>
      <c r="C134" s="44">
        <v>1128</v>
      </c>
      <c r="D134" s="44">
        <v>192</v>
      </c>
      <c r="E134" s="11">
        <f t="shared" si="95"/>
        <v>1152.6016800000002</v>
      </c>
      <c r="F134" s="11">
        <f t="shared" si="95"/>
        <v>196.18752</v>
      </c>
      <c r="G134" s="37">
        <f t="shared" si="96"/>
        <v>1348.7892000000002</v>
      </c>
      <c r="H134" s="47">
        <f t="shared" si="97"/>
        <v>134.87892000000002</v>
      </c>
      <c r="I134" s="75">
        <f>$D$10/17*24</f>
        <v>670.5882352941177</v>
      </c>
      <c r="J134" s="47">
        <v>0</v>
      </c>
      <c r="K134" s="14">
        <f>IF((G134+H134+I134+J134)-((G134+H134+I134+J134)*0.235)&lt;$D$11/24*24,($D$11/24*24-((G134+H134+I134+J134)-((G134+H134+I134+J134)*0.235)))/0.765,0)</f>
        <v>113.71750091503255</v>
      </c>
      <c r="L134" s="14">
        <f t="shared" si="99"/>
        <v>2267.97385620915</v>
      </c>
      <c r="M134" s="52">
        <f t="shared" si="100"/>
        <v>249.4771241830065</v>
      </c>
      <c r="N134" s="47">
        <f t="shared" si="101"/>
        <v>68.0392156862745</v>
      </c>
      <c r="O134" s="47">
        <f t="shared" si="101"/>
        <v>68.0392156862745</v>
      </c>
      <c r="P134" s="47">
        <f t="shared" si="102"/>
        <v>45.359477124183</v>
      </c>
      <c r="Q134" s="14">
        <f t="shared" si="103"/>
        <v>102.05882352941175</v>
      </c>
      <c r="R134" s="52">
        <f t="shared" si="104"/>
        <v>532.9738562091503</v>
      </c>
      <c r="S134" s="52">
        <f t="shared" si="105"/>
        <v>1648.0061118</v>
      </c>
      <c r="T134" s="55">
        <f t="shared" si="106"/>
        <v>1735</v>
      </c>
      <c r="U134" s="89">
        <v>264</v>
      </c>
      <c r="V134" s="95">
        <f t="shared" si="107"/>
        <v>1999</v>
      </c>
    </row>
    <row r="135" spans="1:22" ht="12.75">
      <c r="A135" s="19">
        <v>1549</v>
      </c>
      <c r="B135" s="5" t="s">
        <v>94</v>
      </c>
      <c r="C135" s="44">
        <v>846</v>
      </c>
      <c r="D135" s="44">
        <v>144</v>
      </c>
      <c r="E135" s="11">
        <f t="shared" si="95"/>
        <v>864.45126</v>
      </c>
      <c r="F135" s="11">
        <f t="shared" si="95"/>
        <v>147.14064000000002</v>
      </c>
      <c r="G135" s="37">
        <f t="shared" si="96"/>
        <v>1011.5919000000001</v>
      </c>
      <c r="H135" s="47">
        <f t="shared" si="97"/>
        <v>101.15919000000002</v>
      </c>
      <c r="I135" s="75">
        <f>$D$10/17*18</f>
        <v>502.94117647058823</v>
      </c>
      <c r="J135" s="47">
        <v>0</v>
      </c>
      <c r="K135" s="14">
        <f>IF((G135+H135+I135+J135)-((G135+H135+I135+J135)*0.235)&lt;$D$11/18*18,($D$11/18*18-((G135+H135+I135+J135)-((G135+H135+I135+J135)*0.235)))/0.765,0)</f>
        <v>652.2815897385617</v>
      </c>
      <c r="L135" s="14">
        <f t="shared" si="99"/>
        <v>2267.97385620915</v>
      </c>
      <c r="M135" s="52">
        <f t="shared" si="100"/>
        <v>249.4771241830065</v>
      </c>
      <c r="N135" s="47">
        <f t="shared" si="101"/>
        <v>68.0392156862745</v>
      </c>
      <c r="O135" s="47">
        <f t="shared" si="101"/>
        <v>68.0392156862745</v>
      </c>
      <c r="P135" s="47">
        <f t="shared" si="102"/>
        <v>45.359477124183</v>
      </c>
      <c r="Q135" s="14">
        <f t="shared" si="103"/>
        <v>102.05882352941175</v>
      </c>
      <c r="R135" s="52">
        <f t="shared" si="104"/>
        <v>532.9738562091503</v>
      </c>
      <c r="S135" s="52">
        <f t="shared" si="105"/>
        <v>1236.0045838500002</v>
      </c>
      <c r="T135" s="55">
        <f t="shared" si="106"/>
        <v>1735</v>
      </c>
      <c r="U135" s="89">
        <v>198</v>
      </c>
      <c r="V135" s="95">
        <f t="shared" si="107"/>
        <v>1933</v>
      </c>
    </row>
    <row r="136" spans="1:22" ht="13.5" thickBot="1">
      <c r="A136" s="20">
        <v>1550</v>
      </c>
      <c r="B136" s="7" t="s">
        <v>95</v>
      </c>
      <c r="C136" s="45">
        <v>564</v>
      </c>
      <c r="D136" s="45">
        <v>96</v>
      </c>
      <c r="E136" s="12">
        <f t="shared" si="95"/>
        <v>576.3008400000001</v>
      </c>
      <c r="F136" s="12">
        <f t="shared" si="95"/>
        <v>98.09376</v>
      </c>
      <c r="G136" s="38">
        <f t="shared" si="96"/>
        <v>674.3946000000001</v>
      </c>
      <c r="H136" s="48">
        <f t="shared" si="97"/>
        <v>67.43946000000001</v>
      </c>
      <c r="I136" s="75">
        <f>$D$10/17*12</f>
        <v>335.29411764705884</v>
      </c>
      <c r="J136" s="48">
        <v>0</v>
      </c>
      <c r="K136" s="14">
        <f>IF((G136+H136+I136+J136)-((G136+H136+I136+J136)*0.235)&lt;$D$11/15*12,($D$11/15*12-((G136+H136+I136+J136)-((G136+H136+I136+J136)*0.235)))/0.765,0)</f>
        <v>737.2509073202614</v>
      </c>
      <c r="L136" s="14">
        <f t="shared" si="99"/>
        <v>1814.3790849673203</v>
      </c>
      <c r="M136" s="53">
        <f t="shared" si="100"/>
        <v>199.58169934640523</v>
      </c>
      <c r="N136" s="48">
        <f t="shared" si="101"/>
        <v>54.431372549019606</v>
      </c>
      <c r="O136" s="48">
        <f t="shared" si="101"/>
        <v>54.431372549019606</v>
      </c>
      <c r="P136" s="48">
        <f t="shared" si="102"/>
        <v>36.287581699346404</v>
      </c>
      <c r="Q136" s="15">
        <f t="shared" si="103"/>
        <v>81.6470588235294</v>
      </c>
      <c r="R136" s="53">
        <f t="shared" si="104"/>
        <v>426.37908496732024</v>
      </c>
      <c r="S136" s="52">
        <f t="shared" si="105"/>
        <v>824.0030559</v>
      </c>
      <c r="T136" s="55">
        <f t="shared" si="106"/>
        <v>1388</v>
      </c>
      <c r="U136" s="89">
        <v>132</v>
      </c>
      <c r="V136" s="95">
        <f t="shared" si="107"/>
        <v>1520</v>
      </c>
    </row>
    <row r="137" spans="1:4" ht="13.5" thickBot="1">
      <c r="A137" s="2"/>
      <c r="C137" s="2"/>
      <c r="D137" s="2"/>
    </row>
    <row r="138" spans="1:22" ht="20.25">
      <c r="A138" s="176" t="s">
        <v>33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83"/>
      <c r="V138" s="84"/>
    </row>
    <row r="139" spans="1:22" s="13" customFormat="1" ht="12.75" customHeight="1">
      <c r="A139" s="178" t="s">
        <v>1</v>
      </c>
      <c r="B139" s="180" t="s">
        <v>0</v>
      </c>
      <c r="C139" s="180" t="s">
        <v>2</v>
      </c>
      <c r="D139" s="180"/>
      <c r="E139" s="182" t="s">
        <v>61</v>
      </c>
      <c r="F139" s="182" t="s">
        <v>62</v>
      </c>
      <c r="G139" s="184" t="s">
        <v>68</v>
      </c>
      <c r="H139" s="184" t="s">
        <v>66</v>
      </c>
      <c r="I139" s="182" t="s">
        <v>132</v>
      </c>
      <c r="J139" s="184" t="s">
        <v>77</v>
      </c>
      <c r="K139" s="186" t="s">
        <v>118</v>
      </c>
      <c r="L139" s="186" t="s">
        <v>117</v>
      </c>
      <c r="M139" s="188" t="s">
        <v>99</v>
      </c>
      <c r="N139" s="189"/>
      <c r="O139" s="189"/>
      <c r="P139" s="189"/>
      <c r="Q139" s="189"/>
      <c r="R139" s="190" t="s">
        <v>116</v>
      </c>
      <c r="S139" s="190" t="s">
        <v>115</v>
      </c>
      <c r="T139" s="192" t="s">
        <v>114</v>
      </c>
      <c r="U139" s="192" t="s">
        <v>121</v>
      </c>
      <c r="V139" s="192" t="s">
        <v>122</v>
      </c>
    </row>
    <row r="140" spans="1:22" s="13" customFormat="1" ht="78" customHeight="1">
      <c r="A140" s="179"/>
      <c r="B140" s="181"/>
      <c r="C140" s="8" t="s">
        <v>3</v>
      </c>
      <c r="D140" s="8" t="s">
        <v>6</v>
      </c>
      <c r="E140" s="183"/>
      <c r="F140" s="183"/>
      <c r="G140" s="185"/>
      <c r="H140" s="185"/>
      <c r="I140" s="183"/>
      <c r="J140" s="185"/>
      <c r="K140" s="187"/>
      <c r="L140" s="187"/>
      <c r="M140" s="63" t="s">
        <v>101</v>
      </c>
      <c r="N140" s="62" t="s">
        <v>102</v>
      </c>
      <c r="O140" s="62" t="s">
        <v>103</v>
      </c>
      <c r="P140" s="64" t="s">
        <v>104</v>
      </c>
      <c r="Q140" s="64" t="s">
        <v>105</v>
      </c>
      <c r="R140" s="191"/>
      <c r="S140" s="191"/>
      <c r="T140" s="188"/>
      <c r="U140" s="188"/>
      <c r="V140" s="188"/>
    </row>
    <row r="141" spans="1:22" ht="13.5" thickBot="1">
      <c r="A141" s="17">
        <v>5596</v>
      </c>
      <c r="B141" s="6" t="s">
        <v>34</v>
      </c>
      <c r="C141" s="40">
        <v>1509</v>
      </c>
      <c r="D141" s="40">
        <v>0</v>
      </c>
      <c r="E141" s="12">
        <f>C141*$D$168</f>
        <v>1541.9112900000002</v>
      </c>
      <c r="F141" s="12">
        <f>D141*$D$168</f>
        <v>0</v>
      </c>
      <c r="G141" s="38">
        <f>F141+E141</f>
        <v>1541.9112900000002</v>
      </c>
      <c r="H141" s="48">
        <f>G141*0.1</f>
        <v>154.19112900000005</v>
      </c>
      <c r="I141" s="11">
        <f>$D$10</f>
        <v>475</v>
      </c>
      <c r="J141" s="48">
        <v>0</v>
      </c>
      <c r="K141" s="14">
        <f>IF((G141+H141+I141+J141)-((G141+H141+I141+J141)*0.235)&lt;$D$11,($D$11-((G141+H141+I141+J141)-((G141+H141+I141+J141)*0.235)))/0.765,0)</f>
        <v>96.87143720914992</v>
      </c>
      <c r="L141" s="14">
        <f>SUM(G141:K141)</f>
        <v>2267.97385620915</v>
      </c>
      <c r="M141" s="53">
        <f>$L141*11%</f>
        <v>249.4771241830065</v>
      </c>
      <c r="N141" s="48">
        <f>$L141*3%</f>
        <v>68.0392156862745</v>
      </c>
      <c r="O141" s="48">
        <f>$L141*3%</f>
        <v>68.0392156862745</v>
      </c>
      <c r="P141" s="48">
        <f>$L141*2%</f>
        <v>45.359477124183</v>
      </c>
      <c r="Q141" s="15">
        <f>$L141*4.5%</f>
        <v>102.05882352941175</v>
      </c>
      <c r="R141" s="53">
        <f>SUM(N141:Q141)+M141</f>
        <v>532.9738562091503</v>
      </c>
      <c r="S141" s="52">
        <f>(G141+H141+I141+J141)-((G141+H141+I141+J141)*0.235)</f>
        <v>1660.8933505350003</v>
      </c>
      <c r="T141" s="55">
        <f>L141-R141</f>
        <v>1735</v>
      </c>
      <c r="U141" s="89">
        <f>$D$12</f>
        <v>165</v>
      </c>
      <c r="V141" s="95">
        <f>T141+U141</f>
        <v>1900</v>
      </c>
    </row>
    <row r="142" ht="13.5" thickBot="1"/>
    <row r="143" spans="1:22" s="32" customFormat="1" ht="20.25">
      <c r="A143" s="176" t="s">
        <v>88</v>
      </c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85"/>
      <c r="V143" s="86"/>
    </row>
    <row r="144" spans="1:22" s="13" customFormat="1" ht="12.75" customHeight="1">
      <c r="A144" s="178" t="s">
        <v>1</v>
      </c>
      <c r="B144" s="180" t="s">
        <v>0</v>
      </c>
      <c r="C144" s="180" t="s">
        <v>2</v>
      </c>
      <c r="D144" s="180"/>
      <c r="E144" s="182" t="s">
        <v>61</v>
      </c>
      <c r="F144" s="182" t="s">
        <v>62</v>
      </c>
      <c r="G144" s="184" t="s">
        <v>68</v>
      </c>
      <c r="H144" s="184" t="s">
        <v>66</v>
      </c>
      <c r="I144" s="182" t="s">
        <v>132</v>
      </c>
      <c r="J144" s="184" t="s">
        <v>77</v>
      </c>
      <c r="K144" s="186" t="s">
        <v>118</v>
      </c>
      <c r="L144" s="186" t="s">
        <v>117</v>
      </c>
      <c r="M144" s="188" t="s">
        <v>99</v>
      </c>
      <c r="N144" s="189"/>
      <c r="O144" s="189"/>
      <c r="P144" s="189"/>
      <c r="Q144" s="189"/>
      <c r="R144" s="190" t="s">
        <v>116</v>
      </c>
      <c r="S144" s="190" t="s">
        <v>115</v>
      </c>
      <c r="T144" s="192" t="s">
        <v>114</v>
      </c>
      <c r="U144" s="192" t="s">
        <v>121</v>
      </c>
      <c r="V144" s="192" t="s">
        <v>122</v>
      </c>
    </row>
    <row r="145" spans="1:22" s="13" customFormat="1" ht="78" customHeight="1">
      <c r="A145" s="179"/>
      <c r="B145" s="181"/>
      <c r="C145" s="8" t="s">
        <v>3</v>
      </c>
      <c r="D145" s="8" t="s">
        <v>6</v>
      </c>
      <c r="E145" s="183"/>
      <c r="F145" s="183"/>
      <c r="G145" s="185"/>
      <c r="H145" s="185"/>
      <c r="I145" s="183"/>
      <c r="J145" s="185"/>
      <c r="K145" s="187"/>
      <c r="L145" s="187"/>
      <c r="M145" s="63" t="s">
        <v>101</v>
      </c>
      <c r="N145" s="62" t="s">
        <v>102</v>
      </c>
      <c r="O145" s="62" t="s">
        <v>103</v>
      </c>
      <c r="P145" s="64" t="s">
        <v>104</v>
      </c>
      <c r="Q145" s="64" t="s">
        <v>105</v>
      </c>
      <c r="R145" s="191"/>
      <c r="S145" s="191"/>
      <c r="T145" s="188"/>
      <c r="U145" s="188"/>
      <c r="V145" s="188"/>
    </row>
    <row r="146" spans="1:22" ht="12.75">
      <c r="A146" s="16">
        <v>3509</v>
      </c>
      <c r="B146" s="3" t="s">
        <v>36</v>
      </c>
      <c r="C146" s="39">
        <v>2625</v>
      </c>
      <c r="D146" s="39">
        <v>235</v>
      </c>
      <c r="E146" s="11">
        <f aca="true" t="shared" si="108" ref="E146:F156">C146*$D$168</f>
        <v>2682.2512500000003</v>
      </c>
      <c r="F146" s="11">
        <f t="shared" si="108"/>
        <v>240.12535000000003</v>
      </c>
      <c r="G146" s="37">
        <f aca="true" t="shared" si="109" ref="G146:G156">F146+E146</f>
        <v>2922.3766000000005</v>
      </c>
      <c r="H146" s="47">
        <f aca="true" t="shared" si="110" ref="H146:H156">G146*0.1</f>
        <v>292.23766000000006</v>
      </c>
      <c r="I146" s="11">
        <f aca="true" t="shared" si="111" ref="I146:I155">$D$10</f>
        <v>475</v>
      </c>
      <c r="J146" s="47">
        <v>0</v>
      </c>
      <c r="K146" s="14">
        <f aca="true" t="shared" si="112" ref="K146:K155">IF((G146+H146+I146+J146)-((G146+H146+I146+J146)*0.235)&lt;$D$11,($D$11-((G146+H146+I146+J146)-((G146+H146+I146+J146)*0.235)))/0.765,0)</f>
        <v>0</v>
      </c>
      <c r="L146" s="14">
        <f aca="true" t="shared" si="113" ref="L146:L156">SUM(G146:K146)</f>
        <v>3689.6142600000007</v>
      </c>
      <c r="M146" s="52">
        <f aca="true" t="shared" si="114" ref="M146:M156">$L146*11%</f>
        <v>405.8575686000001</v>
      </c>
      <c r="N146" s="47">
        <f aca="true" t="shared" si="115" ref="N146:O156">$L146*3%</f>
        <v>110.68842780000001</v>
      </c>
      <c r="O146" s="47">
        <f t="shared" si="115"/>
        <v>110.68842780000001</v>
      </c>
      <c r="P146" s="47">
        <f aca="true" t="shared" si="116" ref="P146:P156">$L146*2%</f>
        <v>73.79228520000002</v>
      </c>
      <c r="Q146" s="14">
        <f aca="true" t="shared" si="117" ref="Q146:Q156">$L146*4.5%</f>
        <v>166.03264170000003</v>
      </c>
      <c r="R146" s="52">
        <f aca="true" t="shared" si="118" ref="R146:R156">SUM(N146:Q146)+M146</f>
        <v>867.0593511000002</v>
      </c>
      <c r="S146" s="52">
        <f aca="true" t="shared" si="119" ref="S146:S156">(G146+H146+I146+J146)-((G146+H146+I146+J146)*0.235)</f>
        <v>2822.5549089000006</v>
      </c>
      <c r="T146" s="55">
        <f aca="true" t="shared" si="120" ref="T146:T156">L146-R146</f>
        <v>2822.5549089000006</v>
      </c>
      <c r="U146" s="89">
        <f aca="true" t="shared" si="121" ref="U146:U155">$D$12</f>
        <v>165</v>
      </c>
      <c r="V146" s="95">
        <f aca="true" t="shared" si="122" ref="V146:V156">T146+U146</f>
        <v>2987.5549089000006</v>
      </c>
    </row>
    <row r="147" spans="1:22" ht="12.75">
      <c r="A147" s="16">
        <v>3510</v>
      </c>
      <c r="B147" s="3" t="s">
        <v>53</v>
      </c>
      <c r="C147" s="39">
        <v>2204</v>
      </c>
      <c r="D147" s="39">
        <v>284</v>
      </c>
      <c r="E147" s="11">
        <f t="shared" si="108"/>
        <v>2252.0692400000003</v>
      </c>
      <c r="F147" s="11">
        <f t="shared" si="108"/>
        <v>290.19404000000003</v>
      </c>
      <c r="G147" s="37">
        <f t="shared" si="109"/>
        <v>2542.26328</v>
      </c>
      <c r="H147" s="47">
        <f t="shared" si="110"/>
        <v>254.22632800000002</v>
      </c>
      <c r="I147" s="11">
        <f t="shared" si="111"/>
        <v>475</v>
      </c>
      <c r="J147" s="47">
        <v>0</v>
      </c>
      <c r="K147" s="14">
        <f t="shared" si="112"/>
        <v>0</v>
      </c>
      <c r="L147" s="14">
        <f t="shared" si="113"/>
        <v>3271.4896080000003</v>
      </c>
      <c r="M147" s="52">
        <f t="shared" si="114"/>
        <v>359.86385688</v>
      </c>
      <c r="N147" s="47">
        <f t="shared" si="115"/>
        <v>98.14468824000001</v>
      </c>
      <c r="O147" s="47">
        <f t="shared" si="115"/>
        <v>98.14468824000001</v>
      </c>
      <c r="P147" s="47">
        <f t="shared" si="116"/>
        <v>65.42979216</v>
      </c>
      <c r="Q147" s="14">
        <f t="shared" si="117"/>
        <v>147.21703236000002</v>
      </c>
      <c r="R147" s="52">
        <f t="shared" si="118"/>
        <v>768.80005788</v>
      </c>
      <c r="S147" s="52">
        <f t="shared" si="119"/>
        <v>2502.68955012</v>
      </c>
      <c r="T147" s="55">
        <f t="shared" si="120"/>
        <v>2502.68955012</v>
      </c>
      <c r="U147" s="89">
        <f t="shared" si="121"/>
        <v>165</v>
      </c>
      <c r="V147" s="95">
        <f t="shared" si="122"/>
        <v>2667.68955012</v>
      </c>
    </row>
    <row r="148" spans="1:22" ht="12.75">
      <c r="A148" s="16">
        <v>3525</v>
      </c>
      <c r="B148" s="3" t="s">
        <v>38</v>
      </c>
      <c r="C148" s="39">
        <v>1083</v>
      </c>
      <c r="D148" s="41">
        <v>717</v>
      </c>
      <c r="E148" s="11">
        <f t="shared" si="108"/>
        <v>1106.6202300000002</v>
      </c>
      <c r="F148" s="11">
        <f t="shared" si="108"/>
        <v>732.63777</v>
      </c>
      <c r="G148" s="37">
        <f t="shared" si="109"/>
        <v>1839.2580000000003</v>
      </c>
      <c r="H148" s="47">
        <f t="shared" si="110"/>
        <v>183.92580000000004</v>
      </c>
      <c r="I148" s="11">
        <f t="shared" si="111"/>
        <v>475</v>
      </c>
      <c r="J148" s="47">
        <v>0</v>
      </c>
      <c r="K148" s="14">
        <f t="shared" si="112"/>
        <v>0</v>
      </c>
      <c r="L148" s="14">
        <f t="shared" si="113"/>
        <v>2498.1838000000002</v>
      </c>
      <c r="M148" s="52">
        <f t="shared" si="114"/>
        <v>274.80021800000003</v>
      </c>
      <c r="N148" s="47">
        <f t="shared" si="115"/>
        <v>74.945514</v>
      </c>
      <c r="O148" s="47">
        <f t="shared" si="115"/>
        <v>74.945514</v>
      </c>
      <c r="P148" s="47">
        <f t="shared" si="116"/>
        <v>49.96367600000001</v>
      </c>
      <c r="Q148" s="14">
        <f t="shared" si="117"/>
        <v>112.418271</v>
      </c>
      <c r="R148" s="52">
        <f t="shared" si="118"/>
        <v>587.0731930000001</v>
      </c>
      <c r="S148" s="52">
        <f t="shared" si="119"/>
        <v>1911.110607</v>
      </c>
      <c r="T148" s="55">
        <f t="shared" si="120"/>
        <v>1911.110607</v>
      </c>
      <c r="U148" s="89">
        <f t="shared" si="121"/>
        <v>165</v>
      </c>
      <c r="V148" s="95">
        <f t="shared" si="122"/>
        <v>2076.110607</v>
      </c>
    </row>
    <row r="149" spans="1:22" ht="12.75">
      <c r="A149" s="16">
        <v>3535</v>
      </c>
      <c r="B149" s="3" t="s">
        <v>54</v>
      </c>
      <c r="C149" s="39">
        <v>800</v>
      </c>
      <c r="D149" s="39">
        <v>184</v>
      </c>
      <c r="E149" s="11">
        <f t="shared" si="108"/>
        <v>817.4480000000001</v>
      </c>
      <c r="F149" s="11">
        <f t="shared" si="108"/>
        <v>188.01304000000002</v>
      </c>
      <c r="G149" s="37">
        <f t="shared" si="109"/>
        <v>1005.4610400000001</v>
      </c>
      <c r="H149" s="47">
        <f t="shared" si="110"/>
        <v>100.54610400000001</v>
      </c>
      <c r="I149" s="11">
        <f t="shared" si="111"/>
        <v>475</v>
      </c>
      <c r="J149" s="47">
        <v>0</v>
      </c>
      <c r="K149" s="14">
        <f t="shared" si="112"/>
        <v>686.9667122091503</v>
      </c>
      <c r="L149" s="14">
        <f t="shared" si="113"/>
        <v>2267.9738562091507</v>
      </c>
      <c r="M149" s="52">
        <f t="shared" si="114"/>
        <v>249.47712418300657</v>
      </c>
      <c r="N149" s="47">
        <f t="shared" si="115"/>
        <v>68.03921568627452</v>
      </c>
      <c r="O149" s="47">
        <f t="shared" si="115"/>
        <v>68.03921568627452</v>
      </c>
      <c r="P149" s="47">
        <f t="shared" si="116"/>
        <v>45.359477124183016</v>
      </c>
      <c r="Q149" s="14">
        <f t="shared" si="117"/>
        <v>102.05882352941178</v>
      </c>
      <c r="R149" s="52">
        <f t="shared" si="118"/>
        <v>532.9738562091504</v>
      </c>
      <c r="S149" s="52">
        <f t="shared" si="119"/>
        <v>1209.47046516</v>
      </c>
      <c r="T149" s="55">
        <f t="shared" si="120"/>
        <v>1735.0000000000002</v>
      </c>
      <c r="U149" s="89">
        <f t="shared" si="121"/>
        <v>165</v>
      </c>
      <c r="V149" s="95">
        <f t="shared" si="122"/>
        <v>1900.0000000000002</v>
      </c>
    </row>
    <row r="150" spans="1:22" ht="12.75">
      <c r="A150" s="16">
        <v>3536</v>
      </c>
      <c r="B150" s="3" t="s">
        <v>55</v>
      </c>
      <c r="C150" s="39">
        <v>564</v>
      </c>
      <c r="D150" s="39">
        <v>246</v>
      </c>
      <c r="E150" s="11">
        <f t="shared" si="108"/>
        <v>576.3008400000001</v>
      </c>
      <c r="F150" s="11">
        <f t="shared" si="108"/>
        <v>251.36526000000003</v>
      </c>
      <c r="G150" s="37">
        <f t="shared" si="109"/>
        <v>827.6661000000001</v>
      </c>
      <c r="H150" s="47">
        <f t="shared" si="110"/>
        <v>82.76661000000001</v>
      </c>
      <c r="I150" s="11">
        <f t="shared" si="111"/>
        <v>475</v>
      </c>
      <c r="J150" s="47">
        <v>0</v>
      </c>
      <c r="K150" s="14">
        <f t="shared" si="112"/>
        <v>882.5411462091503</v>
      </c>
      <c r="L150" s="14">
        <f t="shared" si="113"/>
        <v>2267.97385620915</v>
      </c>
      <c r="M150" s="52">
        <f t="shared" si="114"/>
        <v>249.4771241830065</v>
      </c>
      <c r="N150" s="47">
        <f t="shared" si="115"/>
        <v>68.0392156862745</v>
      </c>
      <c r="O150" s="47">
        <f t="shared" si="115"/>
        <v>68.0392156862745</v>
      </c>
      <c r="P150" s="47">
        <f t="shared" si="116"/>
        <v>45.359477124183</v>
      </c>
      <c r="Q150" s="14">
        <f t="shared" si="117"/>
        <v>102.05882352941175</v>
      </c>
      <c r="R150" s="52">
        <f t="shared" si="118"/>
        <v>532.9738562091503</v>
      </c>
      <c r="S150" s="52">
        <f t="shared" si="119"/>
        <v>1059.85602315</v>
      </c>
      <c r="T150" s="55">
        <f t="shared" si="120"/>
        <v>1735</v>
      </c>
      <c r="U150" s="89">
        <f t="shared" si="121"/>
        <v>165</v>
      </c>
      <c r="V150" s="95">
        <f t="shared" si="122"/>
        <v>1900</v>
      </c>
    </row>
    <row r="151" spans="1:22" ht="12.75">
      <c r="A151" s="16">
        <v>3539</v>
      </c>
      <c r="B151" s="3" t="s">
        <v>56</v>
      </c>
      <c r="C151" s="39">
        <v>920</v>
      </c>
      <c r="D151" s="41">
        <v>552</v>
      </c>
      <c r="E151" s="11">
        <f t="shared" si="108"/>
        <v>940.0652000000001</v>
      </c>
      <c r="F151" s="11">
        <f t="shared" si="108"/>
        <v>564.03912</v>
      </c>
      <c r="G151" s="37">
        <f t="shared" si="109"/>
        <v>1504.1043200000001</v>
      </c>
      <c r="H151" s="47">
        <f t="shared" si="110"/>
        <v>150.41043200000001</v>
      </c>
      <c r="I151" s="11">
        <f t="shared" si="111"/>
        <v>475</v>
      </c>
      <c r="J151" s="47">
        <v>0</v>
      </c>
      <c r="K151" s="14">
        <f t="shared" si="112"/>
        <v>138.45910420915044</v>
      </c>
      <c r="L151" s="14">
        <f t="shared" si="113"/>
        <v>2267.9738562091507</v>
      </c>
      <c r="M151" s="52">
        <f t="shared" si="114"/>
        <v>249.47712418300657</v>
      </c>
      <c r="N151" s="47">
        <f t="shared" si="115"/>
        <v>68.03921568627452</v>
      </c>
      <c r="O151" s="47">
        <f t="shared" si="115"/>
        <v>68.03921568627452</v>
      </c>
      <c r="P151" s="47">
        <f t="shared" si="116"/>
        <v>45.359477124183016</v>
      </c>
      <c r="Q151" s="14">
        <f t="shared" si="117"/>
        <v>102.05882352941178</v>
      </c>
      <c r="R151" s="52">
        <f t="shared" si="118"/>
        <v>532.9738562091504</v>
      </c>
      <c r="S151" s="52">
        <f t="shared" si="119"/>
        <v>1629.07878528</v>
      </c>
      <c r="T151" s="55">
        <f t="shared" si="120"/>
        <v>1735.0000000000002</v>
      </c>
      <c r="U151" s="89">
        <f t="shared" si="121"/>
        <v>165</v>
      </c>
      <c r="V151" s="95">
        <f t="shared" si="122"/>
        <v>1900.0000000000002</v>
      </c>
    </row>
    <row r="152" spans="1:22" ht="12.75">
      <c r="A152" s="16">
        <v>3544</v>
      </c>
      <c r="B152" s="3" t="s">
        <v>57</v>
      </c>
      <c r="C152" s="39">
        <v>704</v>
      </c>
      <c r="D152" s="39">
        <v>200</v>
      </c>
      <c r="E152" s="11">
        <f t="shared" si="108"/>
        <v>719.3542400000001</v>
      </c>
      <c r="F152" s="11">
        <f t="shared" si="108"/>
        <v>204.36200000000002</v>
      </c>
      <c r="G152" s="37">
        <f t="shared" si="109"/>
        <v>923.7162400000002</v>
      </c>
      <c r="H152" s="47">
        <f t="shared" si="110"/>
        <v>92.37162400000003</v>
      </c>
      <c r="I152" s="11">
        <f t="shared" si="111"/>
        <v>475</v>
      </c>
      <c r="J152" s="47">
        <v>0</v>
      </c>
      <c r="K152" s="14">
        <f t="shared" si="112"/>
        <v>776.8859922091501</v>
      </c>
      <c r="L152" s="14">
        <f t="shared" si="113"/>
        <v>2267.97385620915</v>
      </c>
      <c r="M152" s="52">
        <f t="shared" si="114"/>
        <v>249.4771241830065</v>
      </c>
      <c r="N152" s="47">
        <f t="shared" si="115"/>
        <v>68.0392156862745</v>
      </c>
      <c r="O152" s="47">
        <f t="shared" si="115"/>
        <v>68.0392156862745</v>
      </c>
      <c r="P152" s="47">
        <f t="shared" si="116"/>
        <v>45.359477124183</v>
      </c>
      <c r="Q152" s="14">
        <f t="shared" si="117"/>
        <v>102.05882352941175</v>
      </c>
      <c r="R152" s="52">
        <f t="shared" si="118"/>
        <v>532.9738562091503</v>
      </c>
      <c r="S152" s="52">
        <f t="shared" si="119"/>
        <v>1140.6822159600001</v>
      </c>
      <c r="T152" s="55">
        <f t="shared" si="120"/>
        <v>1735</v>
      </c>
      <c r="U152" s="89">
        <f t="shared" si="121"/>
        <v>165</v>
      </c>
      <c r="V152" s="95">
        <f t="shared" si="122"/>
        <v>1900</v>
      </c>
    </row>
    <row r="153" spans="1:22" ht="12.75">
      <c r="A153" s="16">
        <v>3549</v>
      </c>
      <c r="B153" s="3" t="s">
        <v>40</v>
      </c>
      <c r="C153" s="39">
        <v>753</v>
      </c>
      <c r="D153" s="39">
        <v>187</v>
      </c>
      <c r="E153" s="11">
        <f t="shared" si="108"/>
        <v>769.4229300000001</v>
      </c>
      <c r="F153" s="11">
        <f t="shared" si="108"/>
        <v>191.07847</v>
      </c>
      <c r="G153" s="37">
        <f t="shared" si="109"/>
        <v>960.5014000000001</v>
      </c>
      <c r="H153" s="47">
        <f t="shared" si="110"/>
        <v>96.05014000000001</v>
      </c>
      <c r="I153" s="11">
        <f t="shared" si="111"/>
        <v>475</v>
      </c>
      <c r="J153" s="47">
        <v>0</v>
      </c>
      <c r="K153" s="14">
        <f t="shared" si="112"/>
        <v>736.42231620915</v>
      </c>
      <c r="L153" s="14">
        <f t="shared" si="113"/>
        <v>2267.97385620915</v>
      </c>
      <c r="M153" s="52">
        <f t="shared" si="114"/>
        <v>249.4771241830065</v>
      </c>
      <c r="N153" s="47">
        <f t="shared" si="115"/>
        <v>68.0392156862745</v>
      </c>
      <c r="O153" s="47">
        <f t="shared" si="115"/>
        <v>68.0392156862745</v>
      </c>
      <c r="P153" s="47">
        <f t="shared" si="116"/>
        <v>45.359477124183</v>
      </c>
      <c r="Q153" s="14">
        <f t="shared" si="117"/>
        <v>102.05882352941175</v>
      </c>
      <c r="R153" s="52">
        <f t="shared" si="118"/>
        <v>532.9738562091503</v>
      </c>
      <c r="S153" s="52">
        <f t="shared" si="119"/>
        <v>1171.6369281000002</v>
      </c>
      <c r="T153" s="55">
        <f t="shared" si="120"/>
        <v>1735</v>
      </c>
      <c r="U153" s="89">
        <f t="shared" si="121"/>
        <v>165</v>
      </c>
      <c r="V153" s="95">
        <f t="shared" si="122"/>
        <v>1900</v>
      </c>
    </row>
    <row r="154" spans="1:22" ht="12.75">
      <c r="A154" s="16">
        <v>3554</v>
      </c>
      <c r="B154" s="3" t="s">
        <v>43</v>
      </c>
      <c r="C154" s="39">
        <v>736</v>
      </c>
      <c r="D154" s="39">
        <v>74</v>
      </c>
      <c r="E154" s="11">
        <f t="shared" si="108"/>
        <v>752.0521600000001</v>
      </c>
      <c r="F154" s="11">
        <f t="shared" si="108"/>
        <v>75.61394000000001</v>
      </c>
      <c r="G154" s="37">
        <f t="shared" si="109"/>
        <v>827.6661000000001</v>
      </c>
      <c r="H154" s="47">
        <f t="shared" si="110"/>
        <v>82.76661000000001</v>
      </c>
      <c r="I154" s="11">
        <f t="shared" si="111"/>
        <v>475</v>
      </c>
      <c r="J154" s="47">
        <v>0</v>
      </c>
      <c r="K154" s="14">
        <f t="shared" si="112"/>
        <v>882.5411462091503</v>
      </c>
      <c r="L154" s="14">
        <f t="shared" si="113"/>
        <v>2267.97385620915</v>
      </c>
      <c r="M154" s="52">
        <f t="shared" si="114"/>
        <v>249.4771241830065</v>
      </c>
      <c r="N154" s="47">
        <f t="shared" si="115"/>
        <v>68.0392156862745</v>
      </c>
      <c r="O154" s="47">
        <f t="shared" si="115"/>
        <v>68.0392156862745</v>
      </c>
      <c r="P154" s="47">
        <f t="shared" si="116"/>
        <v>45.359477124183</v>
      </c>
      <c r="Q154" s="14">
        <f t="shared" si="117"/>
        <v>102.05882352941175</v>
      </c>
      <c r="R154" s="52">
        <f t="shared" si="118"/>
        <v>532.9738562091503</v>
      </c>
      <c r="S154" s="52">
        <f t="shared" si="119"/>
        <v>1059.85602315</v>
      </c>
      <c r="T154" s="55">
        <f t="shared" si="120"/>
        <v>1735</v>
      </c>
      <c r="U154" s="89">
        <f t="shared" si="121"/>
        <v>165</v>
      </c>
      <c r="V154" s="95">
        <f t="shared" si="122"/>
        <v>1900</v>
      </c>
    </row>
    <row r="155" spans="1:22" ht="12.75">
      <c r="A155" s="16">
        <v>3565</v>
      </c>
      <c r="B155" s="3" t="s">
        <v>59</v>
      </c>
      <c r="C155" s="39">
        <v>736</v>
      </c>
      <c r="D155" s="39">
        <v>74</v>
      </c>
      <c r="E155" s="11">
        <f t="shared" si="108"/>
        <v>752.0521600000001</v>
      </c>
      <c r="F155" s="11">
        <f t="shared" si="108"/>
        <v>75.61394000000001</v>
      </c>
      <c r="G155" s="37">
        <f t="shared" si="109"/>
        <v>827.6661000000001</v>
      </c>
      <c r="H155" s="47">
        <f t="shared" si="110"/>
        <v>82.76661000000001</v>
      </c>
      <c r="I155" s="11">
        <f t="shared" si="111"/>
        <v>475</v>
      </c>
      <c r="J155" s="47">
        <v>0</v>
      </c>
      <c r="K155" s="14">
        <f t="shared" si="112"/>
        <v>882.5411462091503</v>
      </c>
      <c r="L155" s="14">
        <f t="shared" si="113"/>
        <v>2267.97385620915</v>
      </c>
      <c r="M155" s="52">
        <f t="shared" si="114"/>
        <v>249.4771241830065</v>
      </c>
      <c r="N155" s="47">
        <f t="shared" si="115"/>
        <v>68.0392156862745</v>
      </c>
      <c r="O155" s="47">
        <f t="shared" si="115"/>
        <v>68.0392156862745</v>
      </c>
      <c r="P155" s="47">
        <f t="shared" si="116"/>
        <v>45.359477124183</v>
      </c>
      <c r="Q155" s="14">
        <f t="shared" si="117"/>
        <v>102.05882352941175</v>
      </c>
      <c r="R155" s="52">
        <f t="shared" si="118"/>
        <v>532.9738562091503</v>
      </c>
      <c r="S155" s="52">
        <f t="shared" si="119"/>
        <v>1059.85602315</v>
      </c>
      <c r="T155" s="55">
        <f t="shared" si="120"/>
        <v>1735</v>
      </c>
      <c r="U155" s="89">
        <f t="shared" si="121"/>
        <v>165</v>
      </c>
      <c r="V155" s="95">
        <f t="shared" si="122"/>
        <v>1900</v>
      </c>
    </row>
    <row r="156" spans="1:22" ht="13.5" thickBot="1">
      <c r="A156" s="17">
        <v>3598</v>
      </c>
      <c r="B156" s="6" t="s">
        <v>58</v>
      </c>
      <c r="C156" s="40">
        <v>58.75</v>
      </c>
      <c r="D156" s="40">
        <v>6.25</v>
      </c>
      <c r="E156" s="12">
        <f t="shared" si="108"/>
        <v>60.03133750000001</v>
      </c>
      <c r="F156" s="12">
        <f t="shared" si="108"/>
        <v>6.386312500000001</v>
      </c>
      <c r="G156" s="38">
        <f t="shared" si="109"/>
        <v>66.41765000000001</v>
      </c>
      <c r="H156" s="48">
        <f t="shared" si="110"/>
        <v>6.641765000000001</v>
      </c>
      <c r="I156" s="11">
        <f>$D$10/17</f>
        <v>27.941176470588236</v>
      </c>
      <c r="J156" s="48">
        <v>0</v>
      </c>
      <c r="K156" s="14">
        <f>IF((G156+H156+I156+J156)-((G156+H156+I156+J156)*0.235)&lt;$D$11/15,($D$11/15-((G156+H156+I156+J156)-((G156+H156+I156+J156)*0.235)))/0.765,0)</f>
        <v>50.197665610021765</v>
      </c>
      <c r="L156" s="14">
        <f t="shared" si="113"/>
        <v>151.19825708061</v>
      </c>
      <c r="M156" s="53">
        <f t="shared" si="114"/>
        <v>16.6318082788671</v>
      </c>
      <c r="N156" s="48">
        <f t="shared" si="115"/>
        <v>4.5359477124183</v>
      </c>
      <c r="O156" s="48">
        <f t="shared" si="115"/>
        <v>4.5359477124183</v>
      </c>
      <c r="P156" s="48">
        <f t="shared" si="116"/>
        <v>3.0239651416122</v>
      </c>
      <c r="Q156" s="15">
        <f t="shared" si="117"/>
        <v>6.80392156862745</v>
      </c>
      <c r="R156" s="53">
        <f t="shared" si="118"/>
        <v>35.53159041394335</v>
      </c>
      <c r="S156" s="52">
        <f t="shared" si="119"/>
        <v>77.26545247500002</v>
      </c>
      <c r="T156" s="55">
        <f t="shared" si="120"/>
        <v>115.66666666666666</v>
      </c>
      <c r="U156" s="89">
        <f>$D$12/12</f>
        <v>13.75</v>
      </c>
      <c r="V156" s="95">
        <f t="shared" si="122"/>
        <v>129.41666666666666</v>
      </c>
    </row>
    <row r="157" ht="13.5" thickBot="1"/>
    <row r="158" spans="1:22" s="32" customFormat="1" ht="20.25">
      <c r="A158" s="176" t="s">
        <v>96</v>
      </c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85"/>
      <c r="V158" s="86"/>
    </row>
    <row r="159" spans="1:22" s="13" customFormat="1" ht="12.75" customHeight="1">
      <c r="A159" s="178" t="s">
        <v>1</v>
      </c>
      <c r="B159" s="180" t="s">
        <v>0</v>
      </c>
      <c r="C159" s="180" t="s">
        <v>2</v>
      </c>
      <c r="D159" s="180"/>
      <c r="E159" s="182" t="s">
        <v>61</v>
      </c>
      <c r="F159" s="182" t="s">
        <v>62</v>
      </c>
      <c r="G159" s="184" t="s">
        <v>68</v>
      </c>
      <c r="H159" s="184" t="s">
        <v>66</v>
      </c>
      <c r="I159" s="182" t="s">
        <v>132</v>
      </c>
      <c r="J159" s="184" t="s">
        <v>77</v>
      </c>
      <c r="K159" s="186" t="s">
        <v>118</v>
      </c>
      <c r="L159" s="186" t="s">
        <v>117</v>
      </c>
      <c r="M159" s="188" t="s">
        <v>99</v>
      </c>
      <c r="N159" s="189"/>
      <c r="O159" s="189"/>
      <c r="P159" s="189"/>
      <c r="Q159" s="189"/>
      <c r="R159" s="190" t="s">
        <v>116</v>
      </c>
      <c r="S159" s="190" t="s">
        <v>115</v>
      </c>
      <c r="T159" s="192" t="s">
        <v>114</v>
      </c>
      <c r="U159" s="192" t="s">
        <v>121</v>
      </c>
      <c r="V159" s="192" t="s">
        <v>122</v>
      </c>
    </row>
    <row r="160" spans="1:22" s="13" customFormat="1" ht="78" customHeight="1">
      <c r="A160" s="179"/>
      <c r="B160" s="181"/>
      <c r="C160" s="8" t="s">
        <v>3</v>
      </c>
      <c r="D160" s="8" t="s">
        <v>6</v>
      </c>
      <c r="E160" s="183"/>
      <c r="F160" s="183"/>
      <c r="G160" s="185"/>
      <c r="H160" s="185"/>
      <c r="I160" s="183"/>
      <c r="J160" s="185"/>
      <c r="K160" s="187"/>
      <c r="L160" s="187"/>
      <c r="M160" s="63" t="s">
        <v>101</v>
      </c>
      <c r="N160" s="62" t="s">
        <v>102</v>
      </c>
      <c r="O160" s="62" t="s">
        <v>103</v>
      </c>
      <c r="P160" s="64" t="s">
        <v>104</v>
      </c>
      <c r="Q160" s="64" t="s">
        <v>105</v>
      </c>
      <c r="R160" s="191"/>
      <c r="S160" s="191"/>
      <c r="T160" s="188"/>
      <c r="U160" s="188"/>
      <c r="V160" s="188"/>
    </row>
    <row r="161" spans="1:22" s="33" customFormat="1" ht="13.5" customHeight="1">
      <c r="A161" s="16">
        <v>3503</v>
      </c>
      <c r="B161" s="34" t="s">
        <v>36</v>
      </c>
      <c r="C161" s="39">
        <v>2625</v>
      </c>
      <c r="D161" s="39">
        <v>0</v>
      </c>
      <c r="E161" s="11">
        <f aca="true" t="shared" si="123" ref="E161:F166">C161*$D$168</f>
        <v>2682.2512500000003</v>
      </c>
      <c r="F161" s="11">
        <f t="shared" si="123"/>
        <v>0</v>
      </c>
      <c r="G161" s="37">
        <f aca="true" t="shared" si="124" ref="G161:G166">F161+E161</f>
        <v>2682.2512500000003</v>
      </c>
      <c r="H161" s="47">
        <f aca="true" t="shared" si="125" ref="H161:H166">G161*0.1</f>
        <v>268.22512500000005</v>
      </c>
      <c r="I161" s="11">
        <f aca="true" t="shared" si="126" ref="I161:I166">$D$10</f>
        <v>475</v>
      </c>
      <c r="J161" s="47">
        <v>0</v>
      </c>
      <c r="K161" s="14">
        <f aca="true" t="shared" si="127" ref="K161:K166">IF((G161+H161+I161+J161)-((G161+H161+I161+J161)*0.235)&lt;$D$11,($D$11-((G161+H161+I161+J161)-((G161+H161+I161+J161)*0.235)))/0.765,0)</f>
        <v>0</v>
      </c>
      <c r="L161" s="14">
        <f aca="true" t="shared" si="128" ref="L161:L166">SUM(G161:K161)</f>
        <v>3425.476375</v>
      </c>
      <c r="M161" s="52">
        <f aca="true" t="shared" si="129" ref="M161:M166">$L161*11%</f>
        <v>376.80240125</v>
      </c>
      <c r="N161" s="47">
        <f aca="true" t="shared" si="130" ref="N161:O166">$L161*3%</f>
        <v>102.76429125</v>
      </c>
      <c r="O161" s="47">
        <f t="shared" si="130"/>
        <v>102.76429125</v>
      </c>
      <c r="P161" s="47">
        <f aca="true" t="shared" si="131" ref="P161:P166">$L161*2%</f>
        <v>68.5095275</v>
      </c>
      <c r="Q161" s="14">
        <f aca="true" t="shared" si="132" ref="Q161:Q166">$L161*4.5%</f>
        <v>154.146436875</v>
      </c>
      <c r="R161" s="52">
        <f aca="true" t="shared" si="133" ref="R161:R166">SUM(N161:Q161)+M161</f>
        <v>804.986948125</v>
      </c>
      <c r="S161" s="52">
        <f aca="true" t="shared" si="134" ref="S161:S166">(G161+H161+I161+J161)-((G161+H161+I161+J161)*0.235)</f>
        <v>2620.4894268750004</v>
      </c>
      <c r="T161" s="55">
        <f aca="true" t="shared" si="135" ref="T161:T166">L161-R161</f>
        <v>2620.4894268750004</v>
      </c>
      <c r="U161" s="89">
        <f aca="true" t="shared" si="136" ref="U161:U166">$D$12</f>
        <v>165</v>
      </c>
      <c r="V161" s="95">
        <f aca="true" t="shared" si="137" ref="V161:V166">T161+U161</f>
        <v>2785.4894268750004</v>
      </c>
    </row>
    <row r="162" spans="1:22" s="33" customFormat="1" ht="13.5" customHeight="1">
      <c r="A162" s="16">
        <v>3504</v>
      </c>
      <c r="B162" s="34" t="s">
        <v>53</v>
      </c>
      <c r="C162" s="39">
        <v>2204</v>
      </c>
      <c r="D162" s="39">
        <v>0</v>
      </c>
      <c r="E162" s="11">
        <f t="shared" si="123"/>
        <v>2252.0692400000003</v>
      </c>
      <c r="F162" s="11">
        <f t="shared" si="123"/>
        <v>0</v>
      </c>
      <c r="G162" s="37">
        <f t="shared" si="124"/>
        <v>2252.0692400000003</v>
      </c>
      <c r="H162" s="47">
        <f t="shared" si="125"/>
        <v>225.20692400000004</v>
      </c>
      <c r="I162" s="11">
        <f t="shared" si="126"/>
        <v>475</v>
      </c>
      <c r="J162" s="47">
        <v>0</v>
      </c>
      <c r="K162" s="14">
        <f t="shared" si="127"/>
        <v>0</v>
      </c>
      <c r="L162" s="14">
        <f t="shared" si="128"/>
        <v>2952.2761640000003</v>
      </c>
      <c r="M162" s="52">
        <f t="shared" si="129"/>
        <v>324.75037804000004</v>
      </c>
      <c r="N162" s="47">
        <f t="shared" si="130"/>
        <v>88.56828492000001</v>
      </c>
      <c r="O162" s="47">
        <f t="shared" si="130"/>
        <v>88.56828492000001</v>
      </c>
      <c r="P162" s="47">
        <f t="shared" si="131"/>
        <v>59.045523280000005</v>
      </c>
      <c r="Q162" s="14">
        <f t="shared" si="132"/>
        <v>132.85242738000002</v>
      </c>
      <c r="R162" s="52">
        <f t="shared" si="133"/>
        <v>693.7848985400001</v>
      </c>
      <c r="S162" s="52">
        <f t="shared" si="134"/>
        <v>2258.4912654600002</v>
      </c>
      <c r="T162" s="55">
        <f t="shared" si="135"/>
        <v>2258.4912654600002</v>
      </c>
      <c r="U162" s="89">
        <f t="shared" si="136"/>
        <v>165</v>
      </c>
      <c r="V162" s="95">
        <f t="shared" si="137"/>
        <v>2423.4912654600002</v>
      </c>
    </row>
    <row r="163" spans="1:22" s="33" customFormat="1" ht="13.5" customHeight="1">
      <c r="A163" s="16">
        <v>3582</v>
      </c>
      <c r="B163" s="34" t="s">
        <v>57</v>
      </c>
      <c r="C163" s="39">
        <v>704</v>
      </c>
      <c r="D163" s="39">
        <v>100</v>
      </c>
      <c r="E163" s="11">
        <f t="shared" si="123"/>
        <v>719.3542400000001</v>
      </c>
      <c r="F163" s="11">
        <f t="shared" si="123"/>
        <v>102.18100000000001</v>
      </c>
      <c r="G163" s="37">
        <f t="shared" si="124"/>
        <v>821.5352400000002</v>
      </c>
      <c r="H163" s="47">
        <f t="shared" si="125"/>
        <v>82.15352400000002</v>
      </c>
      <c r="I163" s="11">
        <f t="shared" si="126"/>
        <v>475</v>
      </c>
      <c r="J163" s="47">
        <v>0</v>
      </c>
      <c r="K163" s="14">
        <f t="shared" si="127"/>
        <v>889.28509220915</v>
      </c>
      <c r="L163" s="14">
        <f t="shared" si="128"/>
        <v>2267.97385620915</v>
      </c>
      <c r="M163" s="52">
        <f t="shared" si="129"/>
        <v>249.4771241830065</v>
      </c>
      <c r="N163" s="47">
        <f t="shared" si="130"/>
        <v>68.0392156862745</v>
      </c>
      <c r="O163" s="47">
        <f t="shared" si="130"/>
        <v>68.0392156862745</v>
      </c>
      <c r="P163" s="47">
        <f t="shared" si="131"/>
        <v>45.359477124183</v>
      </c>
      <c r="Q163" s="14">
        <f t="shared" si="132"/>
        <v>102.05882352941175</v>
      </c>
      <c r="R163" s="52">
        <f t="shared" si="133"/>
        <v>532.9738562091503</v>
      </c>
      <c r="S163" s="52">
        <f t="shared" si="134"/>
        <v>1054.6969044600003</v>
      </c>
      <c r="T163" s="55">
        <f t="shared" si="135"/>
        <v>1735</v>
      </c>
      <c r="U163" s="89">
        <f t="shared" si="136"/>
        <v>165</v>
      </c>
      <c r="V163" s="95">
        <f t="shared" si="137"/>
        <v>1900</v>
      </c>
    </row>
    <row r="164" spans="1:22" ht="12.75">
      <c r="A164" s="16">
        <v>455</v>
      </c>
      <c r="B164" s="3" t="s">
        <v>89</v>
      </c>
      <c r="C164" s="39">
        <v>2115</v>
      </c>
      <c r="D164" s="39">
        <v>149</v>
      </c>
      <c r="E164" s="11">
        <f t="shared" si="123"/>
        <v>2161.12815</v>
      </c>
      <c r="F164" s="11">
        <f t="shared" si="123"/>
        <v>152.24969000000002</v>
      </c>
      <c r="G164" s="37">
        <f t="shared" si="124"/>
        <v>2313.37784</v>
      </c>
      <c r="H164" s="47">
        <f t="shared" si="125"/>
        <v>231.33778400000003</v>
      </c>
      <c r="I164" s="11">
        <f t="shared" si="126"/>
        <v>475</v>
      </c>
      <c r="J164" s="47">
        <v>0</v>
      </c>
      <c r="K164" s="14">
        <f t="shared" si="127"/>
        <v>0</v>
      </c>
      <c r="L164" s="14">
        <f t="shared" si="128"/>
        <v>3019.715624</v>
      </c>
      <c r="M164" s="52">
        <f t="shared" si="129"/>
        <v>332.16871864</v>
      </c>
      <c r="N164" s="47">
        <f t="shared" si="130"/>
        <v>90.59146872</v>
      </c>
      <c r="O164" s="47">
        <f t="shared" si="130"/>
        <v>90.59146872</v>
      </c>
      <c r="P164" s="47">
        <f t="shared" si="131"/>
        <v>60.394312479999996</v>
      </c>
      <c r="Q164" s="14">
        <f t="shared" si="132"/>
        <v>135.88720308</v>
      </c>
      <c r="R164" s="52">
        <f t="shared" si="133"/>
        <v>709.63317164</v>
      </c>
      <c r="S164" s="52">
        <f t="shared" si="134"/>
        <v>2310.08245236</v>
      </c>
      <c r="T164" s="55">
        <f t="shared" si="135"/>
        <v>2310.08245236</v>
      </c>
      <c r="U164" s="89">
        <f t="shared" si="136"/>
        <v>165</v>
      </c>
      <c r="V164" s="95">
        <f t="shared" si="137"/>
        <v>2475.08245236</v>
      </c>
    </row>
    <row r="165" spans="1:22" ht="12.75">
      <c r="A165" s="16">
        <v>3525</v>
      </c>
      <c r="B165" s="3" t="s">
        <v>38</v>
      </c>
      <c r="C165" s="39">
        <v>1083</v>
      </c>
      <c r="D165" s="41">
        <v>717</v>
      </c>
      <c r="E165" s="11">
        <f t="shared" si="123"/>
        <v>1106.6202300000002</v>
      </c>
      <c r="F165" s="11">
        <f t="shared" si="123"/>
        <v>732.63777</v>
      </c>
      <c r="G165" s="37">
        <f t="shared" si="124"/>
        <v>1839.2580000000003</v>
      </c>
      <c r="H165" s="47">
        <f t="shared" si="125"/>
        <v>183.92580000000004</v>
      </c>
      <c r="I165" s="11">
        <f t="shared" si="126"/>
        <v>475</v>
      </c>
      <c r="J165" s="47">
        <v>0</v>
      </c>
      <c r="K165" s="14">
        <f t="shared" si="127"/>
        <v>0</v>
      </c>
      <c r="L165" s="14">
        <f t="shared" si="128"/>
        <v>2498.1838000000002</v>
      </c>
      <c r="M165" s="52">
        <f t="shared" si="129"/>
        <v>274.80021800000003</v>
      </c>
      <c r="N165" s="47">
        <f t="shared" si="130"/>
        <v>74.945514</v>
      </c>
      <c r="O165" s="47">
        <f t="shared" si="130"/>
        <v>74.945514</v>
      </c>
      <c r="P165" s="47">
        <f t="shared" si="131"/>
        <v>49.96367600000001</v>
      </c>
      <c r="Q165" s="14">
        <f t="shared" si="132"/>
        <v>112.418271</v>
      </c>
      <c r="R165" s="52">
        <f t="shared" si="133"/>
        <v>587.0731930000001</v>
      </c>
      <c r="S165" s="52">
        <f t="shared" si="134"/>
        <v>1911.110607</v>
      </c>
      <c r="T165" s="55">
        <f t="shared" si="135"/>
        <v>1911.110607</v>
      </c>
      <c r="U165" s="89">
        <f t="shared" si="136"/>
        <v>165</v>
      </c>
      <c r="V165" s="95">
        <f t="shared" si="137"/>
        <v>2076.110607</v>
      </c>
    </row>
    <row r="166" spans="1:22" ht="13.5" thickBot="1">
      <c r="A166" s="17">
        <v>3539</v>
      </c>
      <c r="B166" s="6" t="s">
        <v>56</v>
      </c>
      <c r="C166" s="40">
        <v>920</v>
      </c>
      <c r="D166" s="61">
        <v>552</v>
      </c>
      <c r="E166" s="11">
        <f t="shared" si="123"/>
        <v>940.0652000000001</v>
      </c>
      <c r="F166" s="11">
        <f t="shared" si="123"/>
        <v>564.03912</v>
      </c>
      <c r="G166" s="37">
        <f t="shared" si="124"/>
        <v>1504.1043200000001</v>
      </c>
      <c r="H166" s="47">
        <f t="shared" si="125"/>
        <v>150.41043200000001</v>
      </c>
      <c r="I166" s="11">
        <f t="shared" si="126"/>
        <v>475</v>
      </c>
      <c r="J166" s="48">
        <v>0</v>
      </c>
      <c r="K166" s="14">
        <f t="shared" si="127"/>
        <v>138.45910420915044</v>
      </c>
      <c r="L166" s="14">
        <f t="shared" si="128"/>
        <v>2267.9738562091507</v>
      </c>
      <c r="M166" s="53">
        <f t="shared" si="129"/>
        <v>249.47712418300657</v>
      </c>
      <c r="N166" s="48">
        <f t="shared" si="130"/>
        <v>68.03921568627452</v>
      </c>
      <c r="O166" s="48">
        <f t="shared" si="130"/>
        <v>68.03921568627452</v>
      </c>
      <c r="P166" s="48">
        <f t="shared" si="131"/>
        <v>45.359477124183016</v>
      </c>
      <c r="Q166" s="15">
        <f t="shared" si="132"/>
        <v>102.05882352941178</v>
      </c>
      <c r="R166" s="53">
        <f t="shared" si="133"/>
        <v>532.9738562091504</v>
      </c>
      <c r="S166" s="52">
        <f t="shared" si="134"/>
        <v>1629.07878528</v>
      </c>
      <c r="T166" s="55">
        <f t="shared" si="135"/>
        <v>1735.0000000000002</v>
      </c>
      <c r="U166" s="89">
        <f t="shared" si="136"/>
        <v>165</v>
      </c>
      <c r="V166" s="95">
        <f t="shared" si="137"/>
        <v>1900.0000000000002</v>
      </c>
    </row>
    <row r="167" spans="5:9" s="26" customFormat="1" ht="12.75">
      <c r="E167" s="27"/>
      <c r="F167" s="27"/>
      <c r="I167" s="27"/>
    </row>
    <row r="168" spans="2:5" ht="12.75">
      <c r="B168" s="1" t="str">
        <f>B9</f>
        <v>Sueldo básico</v>
      </c>
      <c r="C168" s="1" t="s">
        <v>60</v>
      </c>
      <c r="D168" s="10">
        <f>D9</f>
        <v>1.02181</v>
      </c>
      <c r="E168" s="80"/>
    </row>
    <row r="169" spans="1:4" ht="12.75">
      <c r="A169" s="46"/>
      <c r="B169" s="1" t="str">
        <f>B11</f>
        <v>Valores índices modificados por el Decreto 793/2006.</v>
      </c>
      <c r="C169" s="25" t="s">
        <v>120</v>
      </c>
      <c r="D169" s="79">
        <f>D10</f>
        <v>475</v>
      </c>
    </row>
    <row r="170" spans="1:4" ht="12.75">
      <c r="A170" s="21"/>
      <c r="B170" s="1" t="str">
        <f>B12</f>
        <v>Códigos de cargo (no monetarios)</v>
      </c>
      <c r="C170" s="25" t="s">
        <v>113</v>
      </c>
      <c r="D170" s="79">
        <f>D11</f>
        <v>1735</v>
      </c>
    </row>
    <row r="171" spans="3:4" ht="12.75">
      <c r="C171" s="197" t="s">
        <v>123</v>
      </c>
      <c r="D171" s="198">
        <v>165</v>
      </c>
    </row>
    <row r="172" spans="3:4" ht="12.75">
      <c r="C172" s="197"/>
      <c r="D172" s="198"/>
    </row>
    <row r="173" spans="3:21" ht="13.5" thickBot="1">
      <c r="C173" s="30" t="s">
        <v>87</v>
      </c>
      <c r="G173" s="32"/>
      <c r="H173" s="32"/>
      <c r="I173" s="35"/>
      <c r="J173" s="32"/>
      <c r="K173" s="32"/>
      <c r="L173" s="32"/>
      <c r="T173" s="56"/>
      <c r="U173" s="25"/>
    </row>
    <row r="174" spans="3:20" ht="12.75">
      <c r="C174" s="36" t="s">
        <v>78</v>
      </c>
      <c r="D174" s="65" t="s">
        <v>79</v>
      </c>
      <c r="E174" s="65" t="s">
        <v>80</v>
      </c>
      <c r="F174" s="65" t="s">
        <v>81</v>
      </c>
      <c r="G174" s="65" t="s">
        <v>82</v>
      </c>
      <c r="H174" s="65" t="s">
        <v>83</v>
      </c>
      <c r="I174" s="65" t="s">
        <v>106</v>
      </c>
      <c r="J174" s="65" t="s">
        <v>84</v>
      </c>
      <c r="K174" s="65" t="s">
        <v>85</v>
      </c>
      <c r="L174" s="77" t="s">
        <v>86</v>
      </c>
      <c r="M174" s="50"/>
      <c r="T174" s="50"/>
    </row>
    <row r="175" spans="3:20" ht="13.5" thickBot="1">
      <c r="C175" s="66">
        <v>0.3</v>
      </c>
      <c r="D175" s="67">
        <v>0.4</v>
      </c>
      <c r="E175" s="67">
        <v>0.5</v>
      </c>
      <c r="F175" s="67">
        <v>0.6</v>
      </c>
      <c r="G175" s="67">
        <v>0.7</v>
      </c>
      <c r="H175" s="67">
        <v>0.8</v>
      </c>
      <c r="I175" s="67">
        <v>0.9</v>
      </c>
      <c r="J175" s="67">
        <v>1</v>
      </c>
      <c r="K175" s="67">
        <v>1.1</v>
      </c>
      <c r="L175" s="78">
        <v>1.2</v>
      </c>
      <c r="M175" s="49"/>
      <c r="T175" s="51"/>
    </row>
  </sheetData>
  <sheetProtection/>
  <mergeCells count="225">
    <mergeCell ref="C171:C172"/>
    <mergeCell ref="D171:D172"/>
    <mergeCell ref="S159:S160"/>
    <mergeCell ref="T159:T160"/>
    <mergeCell ref="G159:G160"/>
    <mergeCell ref="H159:H160"/>
    <mergeCell ref="I159:I160"/>
    <mergeCell ref="J159:J160"/>
    <mergeCell ref="U159:U160"/>
    <mergeCell ref="V159:V160"/>
    <mergeCell ref="K159:K160"/>
    <mergeCell ref="L159:L160"/>
    <mergeCell ref="M159:Q159"/>
    <mergeCell ref="R159:R160"/>
    <mergeCell ref="S144:S145"/>
    <mergeCell ref="T144:T145"/>
    <mergeCell ref="U144:U145"/>
    <mergeCell ref="V144:V145"/>
    <mergeCell ref="A158:T158"/>
    <mergeCell ref="A159:A160"/>
    <mergeCell ref="B159:B160"/>
    <mergeCell ref="C159:D159"/>
    <mergeCell ref="E159:E160"/>
    <mergeCell ref="F159:F160"/>
    <mergeCell ref="I144:I145"/>
    <mergeCell ref="J144:J145"/>
    <mergeCell ref="K144:K145"/>
    <mergeCell ref="L144:L145"/>
    <mergeCell ref="M144:Q144"/>
    <mergeCell ref="R144:R145"/>
    <mergeCell ref="U139:U140"/>
    <mergeCell ref="V139:V140"/>
    <mergeCell ref="A143:T143"/>
    <mergeCell ref="A144:A145"/>
    <mergeCell ref="B144:B145"/>
    <mergeCell ref="C144:D144"/>
    <mergeCell ref="E144:E145"/>
    <mergeCell ref="F144:F145"/>
    <mergeCell ref="G144:G145"/>
    <mergeCell ref="H144:H145"/>
    <mergeCell ref="K139:K140"/>
    <mergeCell ref="L139:L140"/>
    <mergeCell ref="M139:Q139"/>
    <mergeCell ref="R139:R140"/>
    <mergeCell ref="S139:S140"/>
    <mergeCell ref="T139:T140"/>
    <mergeCell ref="A138:T138"/>
    <mergeCell ref="A139:A140"/>
    <mergeCell ref="B139:B140"/>
    <mergeCell ref="C139:D139"/>
    <mergeCell ref="E139:E140"/>
    <mergeCell ref="F139:F140"/>
    <mergeCell ref="G139:G140"/>
    <mergeCell ref="H139:H140"/>
    <mergeCell ref="I139:I140"/>
    <mergeCell ref="J139:J140"/>
    <mergeCell ref="M125:Q125"/>
    <mergeCell ref="R125:R126"/>
    <mergeCell ref="S125:S126"/>
    <mergeCell ref="T125:T126"/>
    <mergeCell ref="U125:U126"/>
    <mergeCell ref="V125:V126"/>
    <mergeCell ref="G125:G126"/>
    <mergeCell ref="H125:H126"/>
    <mergeCell ref="I125:I126"/>
    <mergeCell ref="J125:J126"/>
    <mergeCell ref="K125:K126"/>
    <mergeCell ref="L125:L126"/>
    <mergeCell ref="S114:S115"/>
    <mergeCell ref="T114:T115"/>
    <mergeCell ref="U114:U115"/>
    <mergeCell ref="V114:V115"/>
    <mergeCell ref="A124:T124"/>
    <mergeCell ref="A125:A126"/>
    <mergeCell ref="B125:B126"/>
    <mergeCell ref="C125:D125"/>
    <mergeCell ref="E125:E126"/>
    <mergeCell ref="F125:F126"/>
    <mergeCell ref="I114:I115"/>
    <mergeCell ref="J114:J115"/>
    <mergeCell ref="K114:K115"/>
    <mergeCell ref="L114:L115"/>
    <mergeCell ref="M114:Q114"/>
    <mergeCell ref="R114:R115"/>
    <mergeCell ref="U98:U99"/>
    <mergeCell ref="V98:V99"/>
    <mergeCell ref="A113:T113"/>
    <mergeCell ref="A114:A115"/>
    <mergeCell ref="B114:B115"/>
    <mergeCell ref="C114:D114"/>
    <mergeCell ref="E114:E115"/>
    <mergeCell ref="F114:F115"/>
    <mergeCell ref="G114:G115"/>
    <mergeCell ref="H114:H115"/>
    <mergeCell ref="K98:K99"/>
    <mergeCell ref="L98:L99"/>
    <mergeCell ref="M98:Q98"/>
    <mergeCell ref="R98:R99"/>
    <mergeCell ref="S98:S99"/>
    <mergeCell ref="T98:T99"/>
    <mergeCell ref="A97:T97"/>
    <mergeCell ref="A98:A99"/>
    <mergeCell ref="B98:B99"/>
    <mergeCell ref="C98:D98"/>
    <mergeCell ref="E98:E99"/>
    <mergeCell ref="F98:F99"/>
    <mergeCell ref="G98:G99"/>
    <mergeCell ref="H98:H99"/>
    <mergeCell ref="I98:I99"/>
    <mergeCell ref="J98:J99"/>
    <mergeCell ref="M68:Q68"/>
    <mergeCell ref="R68:R69"/>
    <mergeCell ref="S68:S69"/>
    <mergeCell ref="T68:T69"/>
    <mergeCell ref="U68:U69"/>
    <mergeCell ref="V68:V69"/>
    <mergeCell ref="G68:G69"/>
    <mergeCell ref="H68:H69"/>
    <mergeCell ref="I68:I69"/>
    <mergeCell ref="J68:J69"/>
    <mergeCell ref="K68:K69"/>
    <mergeCell ref="L68:L69"/>
    <mergeCell ref="S59:S60"/>
    <mergeCell ref="T59:T60"/>
    <mergeCell ref="U59:U60"/>
    <mergeCell ref="V59:V60"/>
    <mergeCell ref="A67:T67"/>
    <mergeCell ref="A68:A69"/>
    <mergeCell ref="B68:B69"/>
    <mergeCell ref="C68:D68"/>
    <mergeCell ref="E68:E69"/>
    <mergeCell ref="F68:F69"/>
    <mergeCell ref="I59:I60"/>
    <mergeCell ref="J59:J60"/>
    <mergeCell ref="K59:K60"/>
    <mergeCell ref="L59:L60"/>
    <mergeCell ref="M59:Q59"/>
    <mergeCell ref="R59:R60"/>
    <mergeCell ref="U49:U50"/>
    <mergeCell ref="V49:V50"/>
    <mergeCell ref="A58:T58"/>
    <mergeCell ref="A59:A60"/>
    <mergeCell ref="B59:B60"/>
    <mergeCell ref="C59:D59"/>
    <mergeCell ref="E59:E60"/>
    <mergeCell ref="F59:F60"/>
    <mergeCell ref="G59:G60"/>
    <mergeCell ref="H59:H60"/>
    <mergeCell ref="K49:K50"/>
    <mergeCell ref="L49:L50"/>
    <mergeCell ref="M49:Q49"/>
    <mergeCell ref="R49:R50"/>
    <mergeCell ref="S49:S50"/>
    <mergeCell ref="T49:T50"/>
    <mergeCell ref="A48:T48"/>
    <mergeCell ref="A49:A50"/>
    <mergeCell ref="B49:B50"/>
    <mergeCell ref="C49:D49"/>
    <mergeCell ref="E49:E50"/>
    <mergeCell ref="F49:F50"/>
    <mergeCell ref="G49:G50"/>
    <mergeCell ref="H49:H50"/>
    <mergeCell ref="I49:I50"/>
    <mergeCell ref="J49:J50"/>
    <mergeCell ref="M40:Q40"/>
    <mergeCell ref="R40:R41"/>
    <mergeCell ref="S40:S41"/>
    <mergeCell ref="T40:T41"/>
    <mergeCell ref="U40:U41"/>
    <mergeCell ref="V40:V41"/>
    <mergeCell ref="G40:G41"/>
    <mergeCell ref="H40:H41"/>
    <mergeCell ref="I40:I41"/>
    <mergeCell ref="J40:J41"/>
    <mergeCell ref="K40:K41"/>
    <mergeCell ref="L40:L41"/>
    <mergeCell ref="S29:S30"/>
    <mergeCell ref="T29:T30"/>
    <mergeCell ref="U29:U30"/>
    <mergeCell ref="V29:V30"/>
    <mergeCell ref="A39:T39"/>
    <mergeCell ref="A40:A41"/>
    <mergeCell ref="B40:B41"/>
    <mergeCell ref="C40:D40"/>
    <mergeCell ref="E40:E41"/>
    <mergeCell ref="F40:F41"/>
    <mergeCell ref="I29:I30"/>
    <mergeCell ref="J29:J30"/>
    <mergeCell ref="K29:K30"/>
    <mergeCell ref="L29:L30"/>
    <mergeCell ref="M29:Q29"/>
    <mergeCell ref="R29:R30"/>
    <mergeCell ref="U18:U19"/>
    <mergeCell ref="V18:V19"/>
    <mergeCell ref="A28:T28"/>
    <mergeCell ref="A29:A30"/>
    <mergeCell ref="B29:B30"/>
    <mergeCell ref="C29:D29"/>
    <mergeCell ref="E29:E30"/>
    <mergeCell ref="F29:F30"/>
    <mergeCell ref="G29:G30"/>
    <mergeCell ref="H29:H30"/>
    <mergeCell ref="K18:K19"/>
    <mergeCell ref="L18:L19"/>
    <mergeCell ref="M18:Q18"/>
    <mergeCell ref="R18:R19"/>
    <mergeCell ref="S18:S19"/>
    <mergeCell ref="T18:T19"/>
    <mergeCell ref="A17:T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A6:T6"/>
    <mergeCell ref="A7:T7"/>
    <mergeCell ref="A8:T8"/>
    <mergeCell ref="J11:M14"/>
    <mergeCell ref="P11:S14"/>
    <mergeCell ref="C12:C13"/>
    <mergeCell ref="D12:D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A176"/>
  <sheetViews>
    <sheetView tabSelected="1" zoomScale="75" zoomScaleNormal="75" zoomScalePageLayoutView="0" workbookViewId="0" topLeftCell="A1">
      <selection activeCell="A6" sqref="A6:W6"/>
    </sheetView>
  </sheetViews>
  <sheetFormatPr defaultColWidth="11.421875" defaultRowHeight="12.75"/>
  <cols>
    <col min="1" max="1" width="7.8515625" style="1" customWidth="1"/>
    <col min="2" max="2" width="48.7109375" style="1" bestFit="1" customWidth="1"/>
    <col min="3" max="3" width="11.7109375" style="1" customWidth="1"/>
    <col min="4" max="4" width="12.7109375" style="1" customWidth="1"/>
    <col min="5" max="5" width="12.140625" style="1" customWidth="1"/>
    <col min="6" max="6" width="11.7109375" style="9" bestFit="1" customWidth="1"/>
    <col min="7" max="7" width="12.421875" style="9" customWidth="1"/>
    <col min="8" max="8" width="12.8515625" style="9" customWidth="1"/>
    <col min="9" max="10" width="11.7109375" style="1" bestFit="1" customWidth="1"/>
    <col min="11" max="11" width="11.8515625" style="9" customWidth="1"/>
    <col min="12" max="12" width="13.57421875" style="9" customWidth="1"/>
    <col min="13" max="14" width="11.7109375" style="1" customWidth="1"/>
    <col min="15" max="15" width="11.28125" style="1" customWidth="1"/>
    <col min="16" max="20" width="11.57421875" style="1" customWidth="1"/>
    <col min="21" max="21" width="12.8515625" style="1" customWidth="1"/>
    <col min="22" max="23" width="11.57421875" style="1" customWidth="1"/>
    <col min="24" max="24" width="11.421875" style="1" customWidth="1"/>
    <col min="25" max="25" width="12.8515625" style="1" hidden="1" customWidth="1"/>
    <col min="26" max="26" width="9.7109375" style="1" bestFit="1" customWidth="1"/>
    <col min="27" max="27" width="11.57421875" style="1" bestFit="1" customWidth="1"/>
    <col min="28" max="16384" width="11.421875" style="1" customWidth="1"/>
  </cols>
  <sheetData>
    <row r="1" ht="12.75"/>
    <row r="2" ht="12.75"/>
    <row r="3" ht="12.75"/>
    <row r="4" ht="12.75"/>
    <row r="5" spans="1:23" ht="27.75">
      <c r="A5" s="81"/>
      <c r="B5" s="81"/>
      <c r="C5" s="81"/>
      <c r="D5" s="81"/>
      <c r="E5" s="81"/>
      <c r="F5" s="82"/>
      <c r="G5" s="82"/>
      <c r="H5" s="82"/>
      <c r="I5" s="81"/>
      <c r="J5" s="81"/>
      <c r="K5" s="82"/>
      <c r="L5" s="82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27.75">
      <c r="A6" s="162" t="s">
        <v>144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20.25" customHeight="1">
      <c r="A7" s="163" t="s">
        <v>125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20.25" customHeight="1" thickBo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</row>
    <row r="9" spans="2:8" ht="12.75">
      <c r="B9" s="150" t="s">
        <v>3</v>
      </c>
      <c r="C9" s="151" t="s">
        <v>60</v>
      </c>
      <c r="D9" s="152">
        <v>1.556902</v>
      </c>
      <c r="E9" s="144"/>
      <c r="F9" s="145"/>
      <c r="G9" s="146"/>
      <c r="H9" s="146"/>
    </row>
    <row r="10" spans="3:25" ht="13.5" customHeight="1" thickBot="1">
      <c r="C10" s="153" t="s">
        <v>119</v>
      </c>
      <c r="D10" s="154">
        <v>640</v>
      </c>
      <c r="E10" s="147"/>
      <c r="F10" s="27"/>
      <c r="S10" s="31"/>
      <c r="T10" s="31"/>
      <c r="U10" s="31"/>
      <c r="V10" s="31"/>
      <c r="X10" s="31"/>
      <c r="Y10" s="31"/>
    </row>
    <row r="11" spans="1:16" ht="12.75" customHeight="1" thickBot="1">
      <c r="A11" s="46"/>
      <c r="B11" s="1" t="s">
        <v>108</v>
      </c>
      <c r="C11" s="153" t="s">
        <v>113</v>
      </c>
      <c r="D11" s="154">
        <v>2695</v>
      </c>
      <c r="E11" s="147"/>
      <c r="F11" s="155" t="s">
        <v>138</v>
      </c>
      <c r="G11" s="156"/>
      <c r="H11" s="156"/>
      <c r="I11" s="157">
        <v>3522.87</v>
      </c>
      <c r="M11" s="165" t="s">
        <v>124</v>
      </c>
      <c r="N11" s="166"/>
      <c r="O11" s="166"/>
      <c r="P11" s="167"/>
    </row>
    <row r="12" spans="1:16" ht="12.75" customHeight="1">
      <c r="A12" s="21"/>
      <c r="B12" s="1" t="s">
        <v>67</v>
      </c>
      <c r="C12" s="199" t="s">
        <v>123</v>
      </c>
      <c r="D12" s="201">
        <v>255</v>
      </c>
      <c r="E12" s="149"/>
      <c r="F12" s="220"/>
      <c r="G12" s="220"/>
      <c r="H12" s="158"/>
      <c r="I12" s="221"/>
      <c r="M12" s="168"/>
      <c r="N12" s="169"/>
      <c r="O12" s="169"/>
      <c r="P12" s="170"/>
    </row>
    <row r="13" spans="3:16" ht="12.75" customHeight="1">
      <c r="C13" s="200"/>
      <c r="D13" s="202"/>
      <c r="E13" s="149"/>
      <c r="F13" s="220"/>
      <c r="G13" s="220"/>
      <c r="H13" s="158"/>
      <c r="I13" s="222"/>
      <c r="M13" s="168"/>
      <c r="N13" s="169"/>
      <c r="O13" s="169"/>
      <c r="P13" s="170"/>
    </row>
    <row r="14" spans="1:25" s="28" customFormat="1" ht="15.75" thickBot="1">
      <c r="A14" s="60"/>
      <c r="B14" s="58" t="s">
        <v>107</v>
      </c>
      <c r="C14" s="126" t="s">
        <v>137</v>
      </c>
      <c r="D14" s="140">
        <v>50</v>
      </c>
      <c r="E14" s="148"/>
      <c r="F14" s="111" t="s">
        <v>143</v>
      </c>
      <c r="G14" s="119"/>
      <c r="H14" s="119"/>
      <c r="I14" s="119"/>
      <c r="J14" s="58"/>
      <c r="K14" s="57"/>
      <c r="L14" s="57"/>
      <c r="M14" s="171"/>
      <c r="N14" s="172"/>
      <c r="O14" s="172"/>
      <c r="P14" s="173"/>
      <c r="Q14" s="57"/>
      <c r="R14" s="57"/>
      <c r="S14" s="57"/>
      <c r="T14" s="57"/>
      <c r="U14" s="57"/>
      <c r="V14" s="57"/>
      <c r="X14" s="57"/>
      <c r="Y14" s="57"/>
    </row>
    <row r="15" spans="1:22" ht="18">
      <c r="A15" s="59"/>
      <c r="B15" s="59"/>
      <c r="C15" s="59"/>
      <c r="D15" s="59"/>
      <c r="E15" s="59"/>
      <c r="F15" s="161" t="s">
        <v>146</v>
      </c>
      <c r="G15" s="59"/>
      <c r="H15" s="59"/>
      <c r="I15" s="115"/>
      <c r="J15" s="59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7" spans="1:27" ht="21" thickBot="1">
      <c r="A17" s="176" t="s">
        <v>4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203"/>
      <c r="X17" s="83"/>
      <c r="Y17" s="83"/>
      <c r="Z17" s="83"/>
      <c r="AA17" s="84"/>
    </row>
    <row r="18" spans="1:27" s="13" customFormat="1" ht="12.75" customHeight="1">
      <c r="A18" s="178" t="s">
        <v>1</v>
      </c>
      <c r="B18" s="180" t="s">
        <v>0</v>
      </c>
      <c r="C18" s="223" t="s">
        <v>2</v>
      </c>
      <c r="D18" s="224"/>
      <c r="E18" s="225"/>
      <c r="F18" s="182" t="s">
        <v>64</v>
      </c>
      <c r="G18" s="182" t="s">
        <v>65</v>
      </c>
      <c r="H18" s="207" t="s">
        <v>142</v>
      </c>
      <c r="I18" s="184" t="s">
        <v>68</v>
      </c>
      <c r="J18" s="184" t="s">
        <v>66</v>
      </c>
      <c r="K18" s="182" t="s">
        <v>132</v>
      </c>
      <c r="L18" s="182" t="s">
        <v>136</v>
      </c>
      <c r="M18" s="184" t="s">
        <v>77</v>
      </c>
      <c r="N18" s="186" t="s">
        <v>118</v>
      </c>
      <c r="O18" s="184" t="s">
        <v>117</v>
      </c>
      <c r="P18" s="189" t="s">
        <v>99</v>
      </c>
      <c r="Q18" s="189"/>
      <c r="R18" s="189"/>
      <c r="S18" s="189"/>
      <c r="T18" s="189"/>
      <c r="U18" s="190" t="s">
        <v>116</v>
      </c>
      <c r="V18" s="190" t="s">
        <v>115</v>
      </c>
      <c r="W18" s="204" t="s">
        <v>114</v>
      </c>
      <c r="X18" s="206" t="s">
        <v>121</v>
      </c>
      <c r="Y18" s="113"/>
      <c r="Z18" s="113"/>
      <c r="AA18" s="206" t="s">
        <v>122</v>
      </c>
    </row>
    <row r="19" spans="1:27" s="13" customFormat="1" ht="78" customHeight="1">
      <c r="A19" s="179"/>
      <c r="B19" s="181"/>
      <c r="C19" s="8" t="s">
        <v>3</v>
      </c>
      <c r="D19" s="8" t="s">
        <v>6</v>
      </c>
      <c r="E19" s="8" t="s">
        <v>141</v>
      </c>
      <c r="F19" s="183"/>
      <c r="G19" s="183"/>
      <c r="H19" s="182"/>
      <c r="I19" s="185"/>
      <c r="J19" s="185"/>
      <c r="K19" s="183"/>
      <c r="L19" s="183"/>
      <c r="M19" s="185"/>
      <c r="N19" s="187"/>
      <c r="O19" s="185"/>
      <c r="P19" s="100" t="s">
        <v>101</v>
      </c>
      <c r="Q19" s="62" t="s">
        <v>102</v>
      </c>
      <c r="R19" s="62" t="s">
        <v>103</v>
      </c>
      <c r="S19" s="64" t="s">
        <v>104</v>
      </c>
      <c r="T19" s="64" t="s">
        <v>105</v>
      </c>
      <c r="U19" s="191"/>
      <c r="V19" s="191"/>
      <c r="W19" s="205"/>
      <c r="X19" s="205"/>
      <c r="Y19" s="125" t="s">
        <v>140</v>
      </c>
      <c r="Z19" s="129" t="s">
        <v>145</v>
      </c>
      <c r="AA19" s="205"/>
    </row>
    <row r="20" spans="1:27" ht="12.75">
      <c r="A20" s="16">
        <v>528</v>
      </c>
      <c r="B20" s="3" t="s">
        <v>5</v>
      </c>
      <c r="C20" s="39">
        <v>1145</v>
      </c>
      <c r="D20" s="39">
        <v>285</v>
      </c>
      <c r="E20" s="229">
        <v>72</v>
      </c>
      <c r="F20" s="11">
        <f aca="true" t="shared" si="0" ref="F20:H26">C20*$D$9</f>
        <v>1782.65279</v>
      </c>
      <c r="G20" s="11">
        <f t="shared" si="0"/>
        <v>443.71707</v>
      </c>
      <c r="H20" s="11">
        <f t="shared" si="0"/>
        <v>112.09694400000001</v>
      </c>
      <c r="I20" s="37">
        <f aca="true" t="shared" si="1" ref="I20:I26">G20+F20+H20</f>
        <v>2338.466804</v>
      </c>
      <c r="J20" s="47">
        <f aca="true" t="shared" si="2" ref="J20:J26">I20*0.1</f>
        <v>233.84668040000003</v>
      </c>
      <c r="K20" s="11">
        <f aca="true" t="shared" si="3" ref="K20:K25">$D$10</f>
        <v>640</v>
      </c>
      <c r="L20" s="11">
        <v>242.39</v>
      </c>
      <c r="M20" s="47">
        <v>0</v>
      </c>
      <c r="N20" s="14">
        <f aca="true" t="shared" si="4" ref="N20:N25">IF((I20+J20+K20+L20+M20)-((I20+J20+K20+L20+M20)*0.235)&lt;$D$11,($D$11-((I20+J20+K20+L20+M20)-((I20+J20+K20+L20+M20)*0.235)))/0.765,0)</f>
        <v>68.1723325934643</v>
      </c>
      <c r="O20" s="47">
        <f aca="true" t="shared" si="5" ref="O20:O26">SUM(I20:N20)</f>
        <v>3522.8758169934645</v>
      </c>
      <c r="P20" s="101">
        <f aca="true" t="shared" si="6" ref="P20:P26">$O20*11%</f>
        <v>387.51633986928107</v>
      </c>
      <c r="Q20" s="47">
        <f aca="true" t="shared" si="7" ref="Q20:R26">$O20*3%</f>
        <v>105.68627450980394</v>
      </c>
      <c r="R20" s="47">
        <f t="shared" si="7"/>
        <v>105.68627450980394</v>
      </c>
      <c r="S20" s="47">
        <f aca="true" t="shared" si="8" ref="S20:S26">$O20*2%</f>
        <v>70.45751633986929</v>
      </c>
      <c r="T20" s="14">
        <f aca="true" t="shared" si="9" ref="T20:T26">$O20*4.5%</f>
        <v>158.52941176470588</v>
      </c>
      <c r="U20" s="52">
        <f aca="true" t="shared" si="10" ref="U20:U26">SUM(Q20:T20)+P20</f>
        <v>827.8758169934641</v>
      </c>
      <c r="V20" s="52">
        <f>(I20+J20+K20+L20+M20)-((I20+J20+K20+L20+M20)*0.235)</f>
        <v>2642.848165566</v>
      </c>
      <c r="W20" s="98">
        <f aca="true" t="shared" si="11" ref="W20:W26">O20-U20</f>
        <v>2695.0000000000005</v>
      </c>
      <c r="X20" s="103">
        <f aca="true" t="shared" si="12" ref="X20:X25">$D$12</f>
        <v>255</v>
      </c>
      <c r="Y20" s="103">
        <f aca="true" t="shared" si="13" ref="Y20:Y25">$I$12</f>
        <v>0</v>
      </c>
      <c r="Z20" s="122">
        <f aca="true" t="shared" si="14" ref="Z20:Z25">$D$14</f>
        <v>50</v>
      </c>
      <c r="AA20" s="110">
        <f aca="true" t="shared" si="15" ref="AA20:AA26">W20+X20+Y20+Z20</f>
        <v>3000.0000000000005</v>
      </c>
    </row>
    <row r="21" spans="1:27" ht="12.75">
      <c r="A21" s="16">
        <v>579</v>
      </c>
      <c r="B21" s="3" t="s">
        <v>7</v>
      </c>
      <c r="C21" s="39">
        <v>996</v>
      </c>
      <c r="D21" s="39">
        <v>259</v>
      </c>
      <c r="E21" s="229">
        <v>63</v>
      </c>
      <c r="F21" s="11">
        <f t="shared" si="0"/>
        <v>1550.674392</v>
      </c>
      <c r="G21" s="11">
        <f t="shared" si="0"/>
        <v>403.237618</v>
      </c>
      <c r="H21" s="11">
        <f t="shared" si="0"/>
        <v>98.084826</v>
      </c>
      <c r="I21" s="37">
        <f t="shared" si="1"/>
        <v>2051.996836</v>
      </c>
      <c r="J21" s="47">
        <f t="shared" si="2"/>
        <v>205.1996836</v>
      </c>
      <c r="K21" s="11">
        <f t="shared" si="3"/>
        <v>640</v>
      </c>
      <c r="L21" s="11">
        <v>155.82</v>
      </c>
      <c r="M21" s="47">
        <v>0</v>
      </c>
      <c r="N21" s="14">
        <f t="shared" si="4"/>
        <v>469.85929739346386</v>
      </c>
      <c r="O21" s="47">
        <f t="shared" si="5"/>
        <v>3522.8758169934636</v>
      </c>
      <c r="P21" s="101">
        <f t="shared" si="6"/>
        <v>387.516339869281</v>
      </c>
      <c r="Q21" s="47">
        <f t="shared" si="7"/>
        <v>105.68627450980391</v>
      </c>
      <c r="R21" s="47">
        <f t="shared" si="7"/>
        <v>105.68627450980391</v>
      </c>
      <c r="S21" s="47">
        <f t="shared" si="8"/>
        <v>70.45751633986927</v>
      </c>
      <c r="T21" s="14">
        <f t="shared" si="9"/>
        <v>158.52941176470586</v>
      </c>
      <c r="U21" s="52">
        <f t="shared" si="10"/>
        <v>827.875816993464</v>
      </c>
      <c r="V21" s="52">
        <f>(I21+J21+K21+L21+M21)-((I21+J21+K21+L21+M21)*0.235)</f>
        <v>2335.557637494</v>
      </c>
      <c r="W21" s="98">
        <f t="shared" si="11"/>
        <v>2694.9999999999995</v>
      </c>
      <c r="X21" s="103">
        <f t="shared" si="12"/>
        <v>255</v>
      </c>
      <c r="Y21" s="103">
        <f t="shared" si="13"/>
        <v>0</v>
      </c>
      <c r="Z21" s="122">
        <f t="shared" si="14"/>
        <v>50</v>
      </c>
      <c r="AA21" s="110">
        <f t="shared" si="15"/>
        <v>2999.9999999999995</v>
      </c>
    </row>
    <row r="22" spans="1:27" ht="12.75">
      <c r="A22" s="16">
        <v>544</v>
      </c>
      <c r="B22" s="3" t="s">
        <v>8</v>
      </c>
      <c r="C22" s="39">
        <v>866</v>
      </c>
      <c r="D22" s="39">
        <v>214</v>
      </c>
      <c r="E22" s="229">
        <v>54</v>
      </c>
      <c r="F22" s="11">
        <f t="shared" si="0"/>
        <v>1348.277132</v>
      </c>
      <c r="G22" s="11">
        <f t="shared" si="0"/>
        <v>333.177028</v>
      </c>
      <c r="H22" s="11">
        <f t="shared" si="0"/>
        <v>84.072708</v>
      </c>
      <c r="I22" s="37">
        <f t="shared" si="1"/>
        <v>1765.526868</v>
      </c>
      <c r="J22" s="47">
        <f t="shared" si="2"/>
        <v>176.5526868</v>
      </c>
      <c r="K22" s="11">
        <f t="shared" si="3"/>
        <v>640</v>
      </c>
      <c r="L22" s="11">
        <v>69.26</v>
      </c>
      <c r="M22" s="47">
        <v>0</v>
      </c>
      <c r="N22" s="14">
        <f t="shared" si="4"/>
        <v>871.536262193464</v>
      </c>
      <c r="O22" s="47">
        <f t="shared" si="5"/>
        <v>3522.875816993464</v>
      </c>
      <c r="P22" s="101">
        <f t="shared" si="6"/>
        <v>387.51633986928107</v>
      </c>
      <c r="Q22" s="47">
        <f t="shared" si="7"/>
        <v>105.68627450980392</v>
      </c>
      <c r="R22" s="47">
        <f t="shared" si="7"/>
        <v>105.68627450980392</v>
      </c>
      <c r="S22" s="47">
        <f t="shared" si="8"/>
        <v>70.45751633986929</v>
      </c>
      <c r="T22" s="14">
        <f t="shared" si="9"/>
        <v>158.52941176470588</v>
      </c>
      <c r="U22" s="52">
        <f t="shared" si="10"/>
        <v>827.8758169934641</v>
      </c>
      <c r="V22" s="52">
        <f>(I22+J22+K22+L22+M22)-((I22+J22+K22+L22+M22)*0.235)</f>
        <v>2028.274759422</v>
      </c>
      <c r="W22" s="98">
        <f t="shared" si="11"/>
        <v>2695</v>
      </c>
      <c r="X22" s="103">
        <f t="shared" si="12"/>
        <v>255</v>
      </c>
      <c r="Y22" s="103">
        <f t="shared" si="13"/>
        <v>0</v>
      </c>
      <c r="Z22" s="122">
        <f t="shared" si="14"/>
        <v>50</v>
      </c>
      <c r="AA22" s="110">
        <f t="shared" si="15"/>
        <v>3000</v>
      </c>
    </row>
    <row r="23" spans="1:27" ht="12.75">
      <c r="A23" s="16">
        <v>543</v>
      </c>
      <c r="B23" s="3" t="s">
        <v>90</v>
      </c>
      <c r="C23" s="39">
        <v>753</v>
      </c>
      <c r="D23" s="39">
        <v>187</v>
      </c>
      <c r="E23" s="39">
        <v>50</v>
      </c>
      <c r="F23" s="11">
        <f t="shared" si="0"/>
        <v>1172.347206</v>
      </c>
      <c r="G23" s="11">
        <f t="shared" si="0"/>
        <v>291.140674</v>
      </c>
      <c r="H23" s="11">
        <f t="shared" si="0"/>
        <v>77.8451</v>
      </c>
      <c r="I23" s="37">
        <f t="shared" si="1"/>
        <v>1541.33298</v>
      </c>
      <c r="J23" s="47">
        <f t="shared" si="2"/>
        <v>154.133298</v>
      </c>
      <c r="K23" s="11">
        <f t="shared" si="3"/>
        <v>640</v>
      </c>
      <c r="L23" s="47">
        <v>0</v>
      </c>
      <c r="M23" s="47">
        <v>0</v>
      </c>
      <c r="N23" s="14">
        <f t="shared" si="4"/>
        <v>1187.4095389934641</v>
      </c>
      <c r="O23" s="47">
        <f t="shared" si="5"/>
        <v>3522.875816993464</v>
      </c>
      <c r="P23" s="101">
        <f t="shared" si="6"/>
        <v>387.51633986928107</v>
      </c>
      <c r="Q23" s="47">
        <f t="shared" si="7"/>
        <v>105.68627450980392</v>
      </c>
      <c r="R23" s="47">
        <f t="shared" si="7"/>
        <v>105.68627450980392</v>
      </c>
      <c r="S23" s="47">
        <f t="shared" si="8"/>
        <v>70.45751633986929</v>
      </c>
      <c r="T23" s="14">
        <f t="shared" si="9"/>
        <v>158.52941176470588</v>
      </c>
      <c r="U23" s="52">
        <f t="shared" si="10"/>
        <v>827.8758169934641</v>
      </c>
      <c r="V23" s="52">
        <f>(I23+J23+K23+L23+M23)-((I23+J23+K23+L23+M23)*0.235)</f>
        <v>1786.6317026699999</v>
      </c>
      <c r="W23" s="98">
        <f t="shared" si="11"/>
        <v>2695</v>
      </c>
      <c r="X23" s="103">
        <f t="shared" si="12"/>
        <v>255</v>
      </c>
      <c r="Y23" s="103">
        <f t="shared" si="13"/>
        <v>0</v>
      </c>
      <c r="Z23" s="122">
        <f t="shared" si="14"/>
        <v>50</v>
      </c>
      <c r="AA23" s="110">
        <f t="shared" si="15"/>
        <v>3000</v>
      </c>
    </row>
    <row r="24" spans="1:27" ht="12.75">
      <c r="A24" s="16">
        <v>889</v>
      </c>
      <c r="B24" s="3" t="s">
        <v>76</v>
      </c>
      <c r="C24" s="39">
        <v>704</v>
      </c>
      <c r="D24" s="39">
        <v>166</v>
      </c>
      <c r="E24" s="39">
        <v>44</v>
      </c>
      <c r="F24" s="11">
        <f t="shared" si="0"/>
        <v>1096.059008</v>
      </c>
      <c r="G24" s="11">
        <f t="shared" si="0"/>
        <v>258.445732</v>
      </c>
      <c r="H24" s="11">
        <f t="shared" si="0"/>
        <v>68.503688</v>
      </c>
      <c r="I24" s="37">
        <f t="shared" si="1"/>
        <v>1423.0084279999999</v>
      </c>
      <c r="J24" s="47">
        <f t="shared" si="2"/>
        <v>142.3008428</v>
      </c>
      <c r="K24" s="11">
        <f t="shared" si="3"/>
        <v>640</v>
      </c>
      <c r="L24" s="47">
        <v>0</v>
      </c>
      <c r="M24" s="47">
        <v>0</v>
      </c>
      <c r="N24" s="14">
        <f t="shared" si="4"/>
        <v>1317.5665461934639</v>
      </c>
      <c r="O24" s="47">
        <f t="shared" si="5"/>
        <v>3522.8758169934636</v>
      </c>
      <c r="P24" s="101">
        <f t="shared" si="6"/>
        <v>387.516339869281</v>
      </c>
      <c r="Q24" s="47">
        <f t="shared" si="7"/>
        <v>105.68627450980391</v>
      </c>
      <c r="R24" s="47">
        <f t="shared" si="7"/>
        <v>105.68627450980391</v>
      </c>
      <c r="S24" s="47">
        <f t="shared" si="8"/>
        <v>70.45751633986927</v>
      </c>
      <c r="T24" s="14">
        <f t="shared" si="9"/>
        <v>158.52941176470586</v>
      </c>
      <c r="U24" s="52">
        <f t="shared" si="10"/>
        <v>827.875816993464</v>
      </c>
      <c r="V24" s="52">
        <f>(I24+J24+K24+L24+M24)-((I24+J24+K24+L24+M24)*0.235)</f>
        <v>1687.0615921620001</v>
      </c>
      <c r="W24" s="98">
        <f t="shared" si="11"/>
        <v>2694.9999999999995</v>
      </c>
      <c r="X24" s="103">
        <f t="shared" si="12"/>
        <v>255</v>
      </c>
      <c r="Y24" s="103">
        <f t="shared" si="13"/>
        <v>0</v>
      </c>
      <c r="Z24" s="122">
        <f t="shared" si="14"/>
        <v>50</v>
      </c>
      <c r="AA24" s="110">
        <f t="shared" si="15"/>
        <v>2999.9999999999995</v>
      </c>
    </row>
    <row r="25" spans="1:27" ht="12.75">
      <c r="A25" s="90">
        <v>906</v>
      </c>
      <c r="B25" s="29" t="s">
        <v>126</v>
      </c>
      <c r="C25" s="91">
        <v>753</v>
      </c>
      <c r="D25" s="91">
        <v>187</v>
      </c>
      <c r="E25" s="91">
        <v>50</v>
      </c>
      <c r="F25" s="11">
        <f t="shared" si="0"/>
        <v>1172.347206</v>
      </c>
      <c r="G25" s="11">
        <f t="shared" si="0"/>
        <v>291.140674</v>
      </c>
      <c r="H25" s="11">
        <f t="shared" si="0"/>
        <v>77.8451</v>
      </c>
      <c r="I25" s="37">
        <f t="shared" si="1"/>
        <v>1541.33298</v>
      </c>
      <c r="J25" s="94">
        <f t="shared" si="2"/>
        <v>154.133298</v>
      </c>
      <c r="K25" s="11">
        <f t="shared" si="3"/>
        <v>640</v>
      </c>
      <c r="L25" s="47">
        <v>0</v>
      </c>
      <c r="M25" s="47">
        <v>0</v>
      </c>
      <c r="N25" s="14">
        <f t="shared" si="4"/>
        <v>1187.4095389934641</v>
      </c>
      <c r="O25" s="47">
        <f t="shared" si="5"/>
        <v>3522.875816993464</v>
      </c>
      <c r="P25" s="101">
        <f t="shared" si="6"/>
        <v>387.51633986928107</v>
      </c>
      <c r="Q25" s="47">
        <f t="shared" si="7"/>
        <v>105.68627450980392</v>
      </c>
      <c r="R25" s="47">
        <f t="shared" si="7"/>
        <v>105.68627450980392</v>
      </c>
      <c r="S25" s="47">
        <f t="shared" si="8"/>
        <v>70.45751633986929</v>
      </c>
      <c r="T25" s="14">
        <f t="shared" si="9"/>
        <v>158.52941176470588</v>
      </c>
      <c r="U25" s="52">
        <f>SUM(Q25:T25)+P25</f>
        <v>827.8758169934641</v>
      </c>
      <c r="V25" s="52">
        <f>(I25+J25+K25+L25+M25)-((I25+J25+K25+L25+M25)*0.235)</f>
        <v>1786.6317026699999</v>
      </c>
      <c r="W25" s="98">
        <f>O25-U25</f>
        <v>2695</v>
      </c>
      <c r="X25" s="103">
        <f t="shared" si="12"/>
        <v>255</v>
      </c>
      <c r="Y25" s="103">
        <f t="shared" si="13"/>
        <v>0</v>
      </c>
      <c r="Z25" s="122">
        <f t="shared" si="14"/>
        <v>50</v>
      </c>
      <c r="AA25" s="110">
        <f t="shared" si="15"/>
        <v>3000</v>
      </c>
    </row>
    <row r="26" spans="1:27" ht="13.5" thickBot="1">
      <c r="A26" s="17">
        <v>566</v>
      </c>
      <c r="B26" s="6" t="s">
        <v>13</v>
      </c>
      <c r="C26" s="40">
        <v>47</v>
      </c>
      <c r="D26" s="40">
        <v>8</v>
      </c>
      <c r="E26" s="40"/>
      <c r="F26" s="12">
        <f t="shared" si="0"/>
        <v>73.174394</v>
      </c>
      <c r="G26" s="12">
        <f t="shared" si="0"/>
        <v>12.455216</v>
      </c>
      <c r="H26" s="11">
        <f t="shared" si="0"/>
        <v>0</v>
      </c>
      <c r="I26" s="37">
        <f t="shared" si="1"/>
        <v>85.62961000000001</v>
      </c>
      <c r="J26" s="48">
        <f t="shared" si="2"/>
        <v>8.562961000000001</v>
      </c>
      <c r="K26" s="12">
        <f>$D$10/17</f>
        <v>37.64705882352941</v>
      </c>
      <c r="L26" s="48">
        <v>0</v>
      </c>
      <c r="M26" s="48">
        <v>0</v>
      </c>
      <c r="N26" s="15">
        <f>IF(((I26+J26+K26+L26+M26)*15)&lt;$I$11,($I$11/15-(I26+J26+K26+L26+M26)),0)</f>
        <v>103.01837017647057</v>
      </c>
      <c r="O26" s="48">
        <f t="shared" si="5"/>
        <v>234.858</v>
      </c>
      <c r="P26" s="102">
        <f t="shared" si="6"/>
        <v>25.83438</v>
      </c>
      <c r="Q26" s="48">
        <f t="shared" si="7"/>
        <v>7.0457399999999994</v>
      </c>
      <c r="R26" s="48">
        <f t="shared" si="7"/>
        <v>7.0457399999999994</v>
      </c>
      <c r="S26" s="48">
        <f t="shared" si="8"/>
        <v>4.69716</v>
      </c>
      <c r="T26" s="15">
        <f t="shared" si="9"/>
        <v>10.56861</v>
      </c>
      <c r="U26" s="53">
        <f t="shared" si="10"/>
        <v>55.19163</v>
      </c>
      <c r="V26" s="53">
        <f>(I26+J26+K26)-((I26+J26+K26)*0.235)</f>
        <v>100.85731681500002</v>
      </c>
      <c r="W26" s="99">
        <f t="shared" si="11"/>
        <v>179.66637</v>
      </c>
      <c r="X26" s="104">
        <f>$D$12/15</f>
        <v>17</v>
      </c>
      <c r="Y26" s="104">
        <f>$I$12/15</f>
        <v>0</v>
      </c>
      <c r="Z26" s="123">
        <f>$D$14/17</f>
        <v>2.9411764705882355</v>
      </c>
      <c r="AA26" s="121">
        <f t="shared" si="15"/>
        <v>199.60754647058823</v>
      </c>
    </row>
    <row r="27" ht="13.5" thickBot="1"/>
    <row r="28" spans="1:27" ht="21" thickBot="1">
      <c r="A28" s="176" t="s">
        <v>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83"/>
      <c r="Y28" s="83"/>
      <c r="Z28" s="83"/>
      <c r="AA28" s="84"/>
    </row>
    <row r="29" spans="1:27" s="13" customFormat="1" ht="12.75" customHeight="1">
      <c r="A29" s="178" t="s">
        <v>1</v>
      </c>
      <c r="B29" s="180" t="s">
        <v>0</v>
      </c>
      <c r="C29" s="180" t="s">
        <v>2</v>
      </c>
      <c r="D29" s="180"/>
      <c r="E29" s="131"/>
      <c r="F29" s="182" t="s">
        <v>61</v>
      </c>
      <c r="G29" s="182" t="s">
        <v>62</v>
      </c>
      <c r="H29" s="207" t="s">
        <v>142</v>
      </c>
      <c r="I29" s="184" t="s">
        <v>68</v>
      </c>
      <c r="J29" s="184" t="s">
        <v>66</v>
      </c>
      <c r="K29" s="182" t="s">
        <v>132</v>
      </c>
      <c r="L29" s="182" t="s">
        <v>136</v>
      </c>
      <c r="M29" s="184" t="s">
        <v>77</v>
      </c>
      <c r="N29" s="186" t="s">
        <v>118</v>
      </c>
      <c r="O29" s="186" t="s">
        <v>117</v>
      </c>
      <c r="P29" s="188" t="s">
        <v>99</v>
      </c>
      <c r="Q29" s="189"/>
      <c r="R29" s="189"/>
      <c r="S29" s="189"/>
      <c r="T29" s="189"/>
      <c r="U29" s="190" t="s">
        <v>116</v>
      </c>
      <c r="V29" s="190" t="s">
        <v>115</v>
      </c>
      <c r="W29" s="206" t="s">
        <v>114</v>
      </c>
      <c r="X29" s="206" t="s">
        <v>121</v>
      </c>
      <c r="Y29" s="113"/>
      <c r="Z29" s="113"/>
      <c r="AA29" s="206" t="s">
        <v>122</v>
      </c>
    </row>
    <row r="30" spans="1:27" s="13" customFormat="1" ht="78" customHeight="1">
      <c r="A30" s="179"/>
      <c r="B30" s="181"/>
      <c r="C30" s="8" t="s">
        <v>3</v>
      </c>
      <c r="D30" s="8" t="s">
        <v>6</v>
      </c>
      <c r="E30" s="8" t="s">
        <v>141</v>
      </c>
      <c r="F30" s="183"/>
      <c r="G30" s="183"/>
      <c r="H30" s="182"/>
      <c r="I30" s="185"/>
      <c r="J30" s="185"/>
      <c r="K30" s="183"/>
      <c r="L30" s="183"/>
      <c r="M30" s="185"/>
      <c r="N30" s="187"/>
      <c r="O30" s="187"/>
      <c r="P30" s="63" t="s">
        <v>101</v>
      </c>
      <c r="Q30" s="62" t="s">
        <v>102</v>
      </c>
      <c r="R30" s="62" t="s">
        <v>103</v>
      </c>
      <c r="S30" s="64" t="s">
        <v>104</v>
      </c>
      <c r="T30" s="64" t="s">
        <v>105</v>
      </c>
      <c r="U30" s="191"/>
      <c r="V30" s="191"/>
      <c r="W30" s="205"/>
      <c r="X30" s="205"/>
      <c r="Y30" s="125" t="s">
        <v>140</v>
      </c>
      <c r="Z30" s="129" t="s">
        <v>145</v>
      </c>
      <c r="AA30" s="205"/>
    </row>
    <row r="31" spans="1:27" ht="12.75">
      <c r="A31" s="16">
        <v>585</v>
      </c>
      <c r="B31" s="3" t="s">
        <v>10</v>
      </c>
      <c r="C31" s="39">
        <v>1145</v>
      </c>
      <c r="D31" s="39">
        <v>285</v>
      </c>
      <c r="E31" s="39">
        <v>72</v>
      </c>
      <c r="F31" s="11">
        <f aca="true" t="shared" si="16" ref="F31:F36">C31*$D$9</f>
        <v>1782.65279</v>
      </c>
      <c r="G31" s="11">
        <f aca="true" t="shared" si="17" ref="G31:G36">D31*$D$9</f>
        <v>443.71707</v>
      </c>
      <c r="H31" s="11">
        <f aca="true" t="shared" si="18" ref="H31:H37">E31*$D$9</f>
        <v>112.09694400000001</v>
      </c>
      <c r="I31" s="37">
        <f>G31+F31+H31</f>
        <v>2338.466804</v>
      </c>
      <c r="J31" s="47">
        <f aca="true" t="shared" si="19" ref="J31:J37">I31*0.1</f>
        <v>233.84668040000003</v>
      </c>
      <c r="K31" s="11">
        <f aca="true" t="shared" si="20" ref="K31:K36">$D$10</f>
        <v>640</v>
      </c>
      <c r="L31" s="11">
        <v>242.39</v>
      </c>
      <c r="M31" s="47">
        <v>0</v>
      </c>
      <c r="N31" s="14">
        <f aca="true" t="shared" si="21" ref="N31:N36">IF((I31+J31+K31+L31+M31)-((I31+J31+K31+L31+M31)*0.235)&lt;$D$11,($D$11-((I31+J31+K31+L31+M31)-((I31+J31+K31+L31+M31)*0.235)))/0.765,0)</f>
        <v>68.1723325934643</v>
      </c>
      <c r="O31" s="14">
        <f aca="true" t="shared" si="22" ref="O31:O37">SUM(I31:N31)</f>
        <v>3522.8758169934645</v>
      </c>
      <c r="P31" s="52">
        <f aca="true" t="shared" si="23" ref="P31:P37">$O31*11%</f>
        <v>387.51633986928107</v>
      </c>
      <c r="Q31" s="47">
        <f aca="true" t="shared" si="24" ref="Q31:R37">$O31*3%</f>
        <v>105.68627450980394</v>
      </c>
      <c r="R31" s="47">
        <f t="shared" si="24"/>
        <v>105.68627450980394</v>
      </c>
      <c r="S31" s="47">
        <f aca="true" t="shared" si="25" ref="S31:S37">$O31*2%</f>
        <v>70.45751633986929</v>
      </c>
      <c r="T31" s="14">
        <f aca="true" t="shared" si="26" ref="T31:T37">$O31*4.5%</f>
        <v>158.52941176470588</v>
      </c>
      <c r="U31" s="52">
        <f aca="true" t="shared" si="27" ref="U31:U37">SUM(Q31:T31)+P31</f>
        <v>827.8758169934641</v>
      </c>
      <c r="V31" s="52">
        <f>(I31+J31+K31+L31+M31)-((I31+J31+K31+L31+M31)*0.235)</f>
        <v>2642.848165566</v>
      </c>
      <c r="W31" s="98">
        <f aca="true" t="shared" si="28" ref="W31:W37">O31-U31</f>
        <v>2695.0000000000005</v>
      </c>
      <c r="X31" s="103">
        <f aca="true" t="shared" si="29" ref="X31:X36">$D$12</f>
        <v>255</v>
      </c>
      <c r="Y31" s="103">
        <f aca="true" t="shared" si="30" ref="Y31:Y36">$I$12</f>
        <v>0</v>
      </c>
      <c r="Z31" s="122">
        <f aca="true" t="shared" si="31" ref="Z31:Z36">$D$14</f>
        <v>50</v>
      </c>
      <c r="AA31" s="110">
        <f aca="true" t="shared" si="32" ref="AA31:AA37">W31+X31+Y31+Z31</f>
        <v>3000.0000000000005</v>
      </c>
    </row>
    <row r="32" spans="1:27" ht="12.75">
      <c r="A32" s="16">
        <v>840</v>
      </c>
      <c r="B32" s="3" t="s">
        <v>7</v>
      </c>
      <c r="C32" s="39">
        <v>996</v>
      </c>
      <c r="D32" s="39">
        <v>259</v>
      </c>
      <c r="E32" s="39">
        <v>63</v>
      </c>
      <c r="F32" s="11">
        <f t="shared" si="16"/>
        <v>1550.674392</v>
      </c>
      <c r="G32" s="11">
        <f t="shared" si="17"/>
        <v>403.237618</v>
      </c>
      <c r="H32" s="11">
        <f t="shared" si="18"/>
        <v>98.084826</v>
      </c>
      <c r="I32" s="37">
        <f aca="true" t="shared" si="33" ref="I32:I37">G32+F32+H32</f>
        <v>2051.996836</v>
      </c>
      <c r="J32" s="47">
        <f t="shared" si="19"/>
        <v>205.1996836</v>
      </c>
      <c r="K32" s="11">
        <f t="shared" si="20"/>
        <v>640</v>
      </c>
      <c r="L32" s="11">
        <v>155.82</v>
      </c>
      <c r="M32" s="47">
        <v>0</v>
      </c>
      <c r="N32" s="14">
        <f t="shared" si="21"/>
        <v>469.85929739346386</v>
      </c>
      <c r="O32" s="14">
        <f t="shared" si="22"/>
        <v>3522.8758169934636</v>
      </c>
      <c r="P32" s="52">
        <f t="shared" si="23"/>
        <v>387.516339869281</v>
      </c>
      <c r="Q32" s="47">
        <f t="shared" si="24"/>
        <v>105.68627450980391</v>
      </c>
      <c r="R32" s="47">
        <f t="shared" si="24"/>
        <v>105.68627450980391</v>
      </c>
      <c r="S32" s="47">
        <f t="shared" si="25"/>
        <v>70.45751633986927</v>
      </c>
      <c r="T32" s="14">
        <f t="shared" si="26"/>
        <v>158.52941176470586</v>
      </c>
      <c r="U32" s="52">
        <f t="shared" si="27"/>
        <v>827.875816993464</v>
      </c>
      <c r="V32" s="52">
        <f>(I32+J32+K32+L32+M32)-((I32+J32+K32+L32+M32)*0.235)</f>
        <v>2335.557637494</v>
      </c>
      <c r="W32" s="98">
        <f t="shared" si="28"/>
        <v>2694.9999999999995</v>
      </c>
      <c r="X32" s="103">
        <f t="shared" si="29"/>
        <v>255</v>
      </c>
      <c r="Y32" s="103">
        <f t="shared" si="30"/>
        <v>0</v>
      </c>
      <c r="Z32" s="122">
        <f t="shared" si="31"/>
        <v>50</v>
      </c>
      <c r="AA32" s="110">
        <f t="shared" si="32"/>
        <v>2999.9999999999995</v>
      </c>
    </row>
    <row r="33" spans="1:27" ht="12.75">
      <c r="A33" s="16">
        <v>846</v>
      </c>
      <c r="B33" s="3" t="s">
        <v>8</v>
      </c>
      <c r="C33" s="39">
        <v>866</v>
      </c>
      <c r="D33" s="39">
        <v>214</v>
      </c>
      <c r="E33" s="39">
        <v>54</v>
      </c>
      <c r="F33" s="11">
        <f t="shared" si="16"/>
        <v>1348.277132</v>
      </c>
      <c r="G33" s="11">
        <f t="shared" si="17"/>
        <v>333.177028</v>
      </c>
      <c r="H33" s="11">
        <f t="shared" si="18"/>
        <v>84.072708</v>
      </c>
      <c r="I33" s="37">
        <f t="shared" si="33"/>
        <v>1765.526868</v>
      </c>
      <c r="J33" s="47">
        <f t="shared" si="19"/>
        <v>176.5526868</v>
      </c>
      <c r="K33" s="11">
        <f t="shared" si="20"/>
        <v>640</v>
      </c>
      <c r="L33" s="11">
        <v>69.26</v>
      </c>
      <c r="M33" s="47">
        <v>0</v>
      </c>
      <c r="N33" s="14">
        <f t="shared" si="21"/>
        <v>871.536262193464</v>
      </c>
      <c r="O33" s="14">
        <f t="shared" si="22"/>
        <v>3522.875816993464</v>
      </c>
      <c r="P33" s="52">
        <f t="shared" si="23"/>
        <v>387.51633986928107</v>
      </c>
      <c r="Q33" s="47">
        <f t="shared" si="24"/>
        <v>105.68627450980392</v>
      </c>
      <c r="R33" s="47">
        <f t="shared" si="24"/>
        <v>105.68627450980392</v>
      </c>
      <c r="S33" s="47">
        <f t="shared" si="25"/>
        <v>70.45751633986929</v>
      </c>
      <c r="T33" s="14">
        <f t="shared" si="26"/>
        <v>158.52941176470588</v>
      </c>
      <c r="U33" s="52">
        <f t="shared" si="27"/>
        <v>827.8758169934641</v>
      </c>
      <c r="V33" s="52">
        <f>(I33+J33+K33+L33+M33)-((I33+J33+K33+L33+M33)*0.235)</f>
        <v>2028.274759422</v>
      </c>
      <c r="W33" s="98">
        <f t="shared" si="28"/>
        <v>2695</v>
      </c>
      <c r="X33" s="103">
        <f t="shared" si="29"/>
        <v>255</v>
      </c>
      <c r="Y33" s="103">
        <f t="shared" si="30"/>
        <v>0</v>
      </c>
      <c r="Z33" s="122">
        <f t="shared" si="31"/>
        <v>50</v>
      </c>
      <c r="AA33" s="110">
        <f t="shared" si="32"/>
        <v>3000</v>
      </c>
    </row>
    <row r="34" spans="1:27" ht="12.75">
      <c r="A34" s="90">
        <v>847</v>
      </c>
      <c r="B34" s="29" t="s">
        <v>126</v>
      </c>
      <c r="C34" s="91">
        <v>753</v>
      </c>
      <c r="D34" s="91">
        <v>187</v>
      </c>
      <c r="E34" s="91">
        <v>50</v>
      </c>
      <c r="F34" s="11">
        <f t="shared" si="16"/>
        <v>1172.347206</v>
      </c>
      <c r="G34" s="11">
        <f t="shared" si="17"/>
        <v>291.140674</v>
      </c>
      <c r="H34" s="11">
        <f t="shared" si="18"/>
        <v>77.8451</v>
      </c>
      <c r="I34" s="37">
        <f t="shared" si="33"/>
        <v>1541.33298</v>
      </c>
      <c r="J34" s="94">
        <f t="shared" si="19"/>
        <v>154.133298</v>
      </c>
      <c r="K34" s="11">
        <f t="shared" si="20"/>
        <v>640</v>
      </c>
      <c r="L34" s="11"/>
      <c r="M34" s="47">
        <v>0</v>
      </c>
      <c r="N34" s="14">
        <f t="shared" si="21"/>
        <v>1187.4095389934641</v>
      </c>
      <c r="O34" s="14">
        <f t="shared" si="22"/>
        <v>3522.875816993464</v>
      </c>
      <c r="P34" s="52">
        <f t="shared" si="23"/>
        <v>387.51633986928107</v>
      </c>
      <c r="Q34" s="47">
        <f t="shared" si="24"/>
        <v>105.68627450980392</v>
      </c>
      <c r="R34" s="47">
        <f t="shared" si="24"/>
        <v>105.68627450980392</v>
      </c>
      <c r="S34" s="47">
        <f t="shared" si="25"/>
        <v>70.45751633986929</v>
      </c>
      <c r="T34" s="14">
        <f t="shared" si="26"/>
        <v>158.52941176470588</v>
      </c>
      <c r="U34" s="52">
        <f t="shared" si="27"/>
        <v>827.8758169934641</v>
      </c>
      <c r="V34" s="52">
        <f>(I34+J34+K34+L34+M34)-((I34+J34+K34+L34+M34)*0.235)</f>
        <v>1786.6317026699999</v>
      </c>
      <c r="W34" s="98">
        <f t="shared" si="28"/>
        <v>2695</v>
      </c>
      <c r="X34" s="103">
        <f t="shared" si="29"/>
        <v>255</v>
      </c>
      <c r="Y34" s="103">
        <f t="shared" si="30"/>
        <v>0</v>
      </c>
      <c r="Z34" s="122">
        <f t="shared" si="31"/>
        <v>50</v>
      </c>
      <c r="AA34" s="110">
        <f t="shared" si="32"/>
        <v>3000</v>
      </c>
    </row>
    <row r="35" spans="1:27" ht="12.75">
      <c r="A35" s="16">
        <v>875</v>
      </c>
      <c r="B35" s="3" t="s">
        <v>11</v>
      </c>
      <c r="C35" s="39">
        <v>753</v>
      </c>
      <c r="D35" s="39">
        <v>187</v>
      </c>
      <c r="E35" s="39">
        <v>50</v>
      </c>
      <c r="F35" s="11">
        <f t="shared" si="16"/>
        <v>1172.347206</v>
      </c>
      <c r="G35" s="11">
        <f t="shared" si="17"/>
        <v>291.140674</v>
      </c>
      <c r="H35" s="11">
        <f t="shared" si="18"/>
        <v>77.8451</v>
      </c>
      <c r="I35" s="37">
        <f t="shared" si="33"/>
        <v>1541.33298</v>
      </c>
      <c r="J35" s="47">
        <f t="shared" si="19"/>
        <v>154.133298</v>
      </c>
      <c r="K35" s="11">
        <f t="shared" si="20"/>
        <v>640</v>
      </c>
      <c r="L35" s="11"/>
      <c r="M35" s="47">
        <v>0</v>
      </c>
      <c r="N35" s="14">
        <f t="shared" si="21"/>
        <v>1187.4095389934641</v>
      </c>
      <c r="O35" s="14">
        <f t="shared" si="22"/>
        <v>3522.875816993464</v>
      </c>
      <c r="P35" s="52">
        <f t="shared" si="23"/>
        <v>387.51633986928107</v>
      </c>
      <c r="Q35" s="47">
        <f t="shared" si="24"/>
        <v>105.68627450980392</v>
      </c>
      <c r="R35" s="47">
        <f t="shared" si="24"/>
        <v>105.68627450980392</v>
      </c>
      <c r="S35" s="47">
        <f t="shared" si="25"/>
        <v>70.45751633986929</v>
      </c>
      <c r="T35" s="14">
        <f t="shared" si="26"/>
        <v>158.52941176470588</v>
      </c>
      <c r="U35" s="52">
        <f t="shared" si="27"/>
        <v>827.8758169934641</v>
      </c>
      <c r="V35" s="52">
        <f>(I35+J35+K35+L35+M35)-((I35+J35+K35+L35+M35)*0.235)</f>
        <v>1786.6317026699999</v>
      </c>
      <c r="W35" s="98">
        <f t="shared" si="28"/>
        <v>2695</v>
      </c>
      <c r="X35" s="103">
        <f t="shared" si="29"/>
        <v>255</v>
      </c>
      <c r="Y35" s="103">
        <f t="shared" si="30"/>
        <v>0</v>
      </c>
      <c r="Z35" s="122">
        <f t="shared" si="31"/>
        <v>50</v>
      </c>
      <c r="AA35" s="110">
        <f t="shared" si="32"/>
        <v>3000</v>
      </c>
    </row>
    <row r="36" spans="1:27" ht="12.75">
      <c r="A36" s="16">
        <v>845</v>
      </c>
      <c r="B36" s="3" t="s">
        <v>12</v>
      </c>
      <c r="C36" s="39">
        <v>753</v>
      </c>
      <c r="D36" s="39">
        <v>187</v>
      </c>
      <c r="E36" s="39">
        <v>50</v>
      </c>
      <c r="F36" s="11">
        <f t="shared" si="16"/>
        <v>1172.347206</v>
      </c>
      <c r="G36" s="11">
        <f t="shared" si="17"/>
        <v>291.140674</v>
      </c>
      <c r="H36" s="11">
        <f t="shared" si="18"/>
        <v>77.8451</v>
      </c>
      <c r="I36" s="37">
        <f t="shared" si="33"/>
        <v>1541.33298</v>
      </c>
      <c r="J36" s="47">
        <f t="shared" si="19"/>
        <v>154.133298</v>
      </c>
      <c r="K36" s="11">
        <f t="shared" si="20"/>
        <v>640</v>
      </c>
      <c r="L36" s="11"/>
      <c r="M36" s="47">
        <v>0</v>
      </c>
      <c r="N36" s="14">
        <f t="shared" si="21"/>
        <v>1187.4095389934641</v>
      </c>
      <c r="O36" s="14">
        <f t="shared" si="22"/>
        <v>3522.875816993464</v>
      </c>
      <c r="P36" s="52">
        <f t="shared" si="23"/>
        <v>387.51633986928107</v>
      </c>
      <c r="Q36" s="47">
        <f t="shared" si="24"/>
        <v>105.68627450980392</v>
      </c>
      <c r="R36" s="47">
        <f t="shared" si="24"/>
        <v>105.68627450980392</v>
      </c>
      <c r="S36" s="47">
        <f t="shared" si="25"/>
        <v>70.45751633986929</v>
      </c>
      <c r="T36" s="14">
        <f t="shared" si="26"/>
        <v>158.52941176470588</v>
      </c>
      <c r="U36" s="52">
        <f t="shared" si="27"/>
        <v>827.8758169934641</v>
      </c>
      <c r="V36" s="52">
        <f>(I36+J36+K36+L36+M36)-((I36+J36+K36+L36+M36)*0.235)</f>
        <v>1786.6317026699999</v>
      </c>
      <c r="W36" s="98">
        <f t="shared" si="28"/>
        <v>2695</v>
      </c>
      <c r="X36" s="103">
        <f t="shared" si="29"/>
        <v>255</v>
      </c>
      <c r="Y36" s="103">
        <f t="shared" si="30"/>
        <v>0</v>
      </c>
      <c r="Z36" s="122">
        <f t="shared" si="31"/>
        <v>50</v>
      </c>
      <c r="AA36" s="110">
        <f t="shared" si="32"/>
        <v>3000</v>
      </c>
    </row>
    <row r="37" spans="1:27" ht="13.5" thickBot="1">
      <c r="A37" s="17">
        <v>5566</v>
      </c>
      <c r="B37" s="6" t="s">
        <v>13</v>
      </c>
      <c r="C37" s="40">
        <v>47</v>
      </c>
      <c r="D37" s="40">
        <v>8</v>
      </c>
      <c r="E37" s="40"/>
      <c r="F37" s="12">
        <f>C37*$D$9</f>
        <v>73.174394</v>
      </c>
      <c r="G37" s="12">
        <f>D37*$D$9</f>
        <v>12.455216</v>
      </c>
      <c r="H37" s="11">
        <f t="shared" si="18"/>
        <v>0</v>
      </c>
      <c r="I37" s="37">
        <f t="shared" si="33"/>
        <v>85.62961000000001</v>
      </c>
      <c r="J37" s="48">
        <f t="shared" si="19"/>
        <v>8.562961000000001</v>
      </c>
      <c r="K37" s="12">
        <f>$D$10/17</f>
        <v>37.64705882352941</v>
      </c>
      <c r="L37" s="12"/>
      <c r="M37" s="48">
        <v>0</v>
      </c>
      <c r="N37" s="15">
        <f>IF(((I37+J37+K37+L37+M37)*15)&lt;$I$11,($I$11/15-(I37+J37+K37+L37+M37)),0)</f>
        <v>103.01837017647057</v>
      </c>
      <c r="O37" s="15">
        <f t="shared" si="22"/>
        <v>234.858</v>
      </c>
      <c r="P37" s="53">
        <f t="shared" si="23"/>
        <v>25.83438</v>
      </c>
      <c r="Q37" s="48">
        <f t="shared" si="24"/>
        <v>7.0457399999999994</v>
      </c>
      <c r="R37" s="48">
        <f t="shared" si="24"/>
        <v>7.0457399999999994</v>
      </c>
      <c r="S37" s="48">
        <f t="shared" si="25"/>
        <v>4.69716</v>
      </c>
      <c r="T37" s="15">
        <f t="shared" si="26"/>
        <v>10.56861</v>
      </c>
      <c r="U37" s="53">
        <f t="shared" si="27"/>
        <v>55.19163</v>
      </c>
      <c r="V37" s="53">
        <f>(I37+J37+K37)-((I37+J37+K37)*0.235)</f>
        <v>100.85731681500002</v>
      </c>
      <c r="W37" s="99">
        <f t="shared" si="28"/>
        <v>179.66637</v>
      </c>
      <c r="X37" s="104">
        <f>$D$12/15</f>
        <v>17</v>
      </c>
      <c r="Y37" s="104">
        <f>$I$12/15</f>
        <v>0</v>
      </c>
      <c r="Z37" s="123">
        <f>$D$14/17</f>
        <v>2.9411764705882355</v>
      </c>
      <c r="AA37" s="121">
        <f t="shared" si="32"/>
        <v>199.60754647058823</v>
      </c>
    </row>
    <row r="38" ht="13.5" thickBot="1"/>
    <row r="39" spans="1:27" ht="21" thickBot="1">
      <c r="A39" s="176" t="s">
        <v>14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83"/>
      <c r="Y39" s="83"/>
      <c r="Z39" s="83"/>
      <c r="AA39" s="84"/>
    </row>
    <row r="40" spans="1:27" s="13" customFormat="1" ht="12.75" customHeight="1">
      <c r="A40" s="178" t="s">
        <v>1</v>
      </c>
      <c r="B40" s="180" t="s">
        <v>0</v>
      </c>
      <c r="C40" s="180" t="s">
        <v>2</v>
      </c>
      <c r="D40" s="180"/>
      <c r="E40" s="131"/>
      <c r="F40" s="182" t="s">
        <v>61</v>
      </c>
      <c r="G40" s="182" t="s">
        <v>62</v>
      </c>
      <c r="H40" s="207" t="s">
        <v>142</v>
      </c>
      <c r="I40" s="184" t="s">
        <v>68</v>
      </c>
      <c r="J40" s="184" t="s">
        <v>66</v>
      </c>
      <c r="K40" s="182" t="s">
        <v>132</v>
      </c>
      <c r="L40" s="182" t="s">
        <v>136</v>
      </c>
      <c r="M40" s="184" t="s">
        <v>77</v>
      </c>
      <c r="N40" s="186" t="s">
        <v>118</v>
      </c>
      <c r="O40" s="186" t="s">
        <v>117</v>
      </c>
      <c r="P40" s="188" t="s">
        <v>99</v>
      </c>
      <c r="Q40" s="189"/>
      <c r="R40" s="189"/>
      <c r="S40" s="189"/>
      <c r="T40" s="189"/>
      <c r="U40" s="190" t="s">
        <v>116</v>
      </c>
      <c r="V40" s="190" t="s">
        <v>115</v>
      </c>
      <c r="W40" s="206" t="s">
        <v>114</v>
      </c>
      <c r="X40" s="206" t="s">
        <v>121</v>
      </c>
      <c r="Y40" s="113"/>
      <c r="Z40" s="113"/>
      <c r="AA40" s="206" t="s">
        <v>122</v>
      </c>
    </row>
    <row r="41" spans="1:27" s="13" customFormat="1" ht="78" customHeight="1">
      <c r="A41" s="179"/>
      <c r="B41" s="181"/>
      <c r="C41" s="8" t="s">
        <v>3</v>
      </c>
      <c r="D41" s="8" t="s">
        <v>6</v>
      </c>
      <c r="E41" s="8" t="s">
        <v>141</v>
      </c>
      <c r="F41" s="183"/>
      <c r="G41" s="183"/>
      <c r="H41" s="182"/>
      <c r="I41" s="185"/>
      <c r="J41" s="185"/>
      <c r="K41" s="183"/>
      <c r="L41" s="183"/>
      <c r="M41" s="185"/>
      <c r="N41" s="187"/>
      <c r="O41" s="187"/>
      <c r="P41" s="63" t="s">
        <v>101</v>
      </c>
      <c r="Q41" s="62" t="s">
        <v>102</v>
      </c>
      <c r="R41" s="62" t="s">
        <v>103</v>
      </c>
      <c r="S41" s="64" t="s">
        <v>104</v>
      </c>
      <c r="T41" s="64" t="s">
        <v>105</v>
      </c>
      <c r="U41" s="191"/>
      <c r="V41" s="191"/>
      <c r="W41" s="205"/>
      <c r="X41" s="205"/>
      <c r="Y41" s="125" t="s">
        <v>140</v>
      </c>
      <c r="Z41" s="129" t="s">
        <v>145</v>
      </c>
      <c r="AA41" s="205"/>
    </row>
    <row r="42" spans="1:27" ht="12.75">
      <c r="A42" s="16">
        <v>835</v>
      </c>
      <c r="B42" s="3" t="s">
        <v>10</v>
      </c>
      <c r="C42" s="39">
        <v>2027</v>
      </c>
      <c r="D42" s="39">
        <v>399</v>
      </c>
      <c r="E42" s="39">
        <v>121</v>
      </c>
      <c r="F42" s="11">
        <f aca="true" t="shared" si="34" ref="F42:H46">C42*$D$9</f>
        <v>3155.840354</v>
      </c>
      <c r="G42" s="11">
        <f t="shared" si="34"/>
        <v>621.203898</v>
      </c>
      <c r="H42" s="11">
        <f t="shared" si="34"/>
        <v>188.385142</v>
      </c>
      <c r="I42" s="37">
        <f>G42+F42+H42</f>
        <v>3965.429394</v>
      </c>
      <c r="J42" s="47">
        <f>I42*0.1</f>
        <v>396.5429394</v>
      </c>
      <c r="K42" s="11">
        <f>$D$10*2</f>
        <v>1280</v>
      </c>
      <c r="L42" s="11">
        <v>270.1</v>
      </c>
      <c r="M42" s="47">
        <v>0</v>
      </c>
      <c r="N42" s="226">
        <f>IF((I42+J42+K42+L42+M42)-((I42+J42+K42+L42+M42)*0.235)&lt;$D$11*2,($D$11*2-((I42+J42+K42+L42+M42)-((I42+J42+K42+L42+M42)*0.235)))/0.765,0)</f>
        <v>1133.6793005869279</v>
      </c>
      <c r="O42" s="14">
        <f>SUM(I42:N42)</f>
        <v>7045.751633986928</v>
      </c>
      <c r="P42" s="52">
        <f>$O42*11%</f>
        <v>775.0326797385621</v>
      </c>
      <c r="Q42" s="47">
        <f aca="true" t="shared" si="35" ref="Q42:R46">$O42*3%</f>
        <v>211.37254901960785</v>
      </c>
      <c r="R42" s="47">
        <f t="shared" si="35"/>
        <v>211.37254901960785</v>
      </c>
      <c r="S42" s="47">
        <f>$O42*2%</f>
        <v>140.91503267973857</v>
      </c>
      <c r="T42" s="14">
        <f>$O42*4.5%</f>
        <v>317.05882352941177</v>
      </c>
      <c r="U42" s="52">
        <f>SUM(Q42:T42)+P42</f>
        <v>1655.7516339869283</v>
      </c>
      <c r="V42" s="52">
        <f>(I42+J42+K42+L42+M42)-((I42+J42+K42+L42+M42)*0.235)</f>
        <v>4522.735335051</v>
      </c>
      <c r="W42" s="98">
        <f>O42-U42</f>
        <v>5390</v>
      </c>
      <c r="X42" s="103">
        <f>$D$12*2</f>
        <v>510</v>
      </c>
      <c r="Y42" s="103">
        <f>$I$12*2</f>
        <v>0</v>
      </c>
      <c r="Z42" s="124">
        <f>$D$14*2</f>
        <v>100</v>
      </c>
      <c r="AA42" s="227">
        <f>W42+X42+Y42+Z42</f>
        <v>6000</v>
      </c>
    </row>
    <row r="43" spans="1:27" ht="12.75">
      <c r="A43" s="16">
        <v>877</v>
      </c>
      <c r="B43" s="3" t="s">
        <v>7</v>
      </c>
      <c r="C43" s="39">
        <v>1763</v>
      </c>
      <c r="D43" s="39">
        <v>436</v>
      </c>
      <c r="E43" s="39">
        <v>110</v>
      </c>
      <c r="F43" s="11">
        <f t="shared" si="34"/>
        <v>2744.818226</v>
      </c>
      <c r="G43" s="11">
        <f t="shared" si="34"/>
        <v>678.809272</v>
      </c>
      <c r="H43" s="11">
        <f t="shared" si="34"/>
        <v>171.25922</v>
      </c>
      <c r="I43" s="37">
        <f>G43+F43+H43</f>
        <v>3594.8867179999997</v>
      </c>
      <c r="J43" s="47">
        <f>I43*0.1</f>
        <v>359.4886718</v>
      </c>
      <c r="K43" s="11">
        <f>$D$10*2</f>
        <v>1280</v>
      </c>
      <c r="L43" s="11">
        <v>157.8</v>
      </c>
      <c r="M43" s="47">
        <v>0</v>
      </c>
      <c r="N43" s="226">
        <f>IF((I43+J43+K43+L43+M43)-((I43+J43+K43+L43+M43)*0.235)&lt;$D$11*2,($D$11*2-((I43+J43+K43+L43+M43)-((I43+J43+K43+L43+M43)*0.235)))/0.765,0)</f>
        <v>1653.5762441869283</v>
      </c>
      <c r="O43" s="14">
        <f>SUM(I43:N43)</f>
        <v>7045.751633986928</v>
      </c>
      <c r="P43" s="52">
        <f>$O43*11%</f>
        <v>775.0326797385621</v>
      </c>
      <c r="Q43" s="47">
        <f t="shared" si="35"/>
        <v>211.37254901960785</v>
      </c>
      <c r="R43" s="47">
        <f t="shared" si="35"/>
        <v>211.37254901960785</v>
      </c>
      <c r="S43" s="47">
        <f>$O43*2%</f>
        <v>140.91503267973857</v>
      </c>
      <c r="T43" s="14">
        <f>$O43*4.5%</f>
        <v>317.05882352941177</v>
      </c>
      <c r="U43" s="52">
        <f>SUM(Q43:T43)+P43</f>
        <v>1655.7516339869283</v>
      </c>
      <c r="V43" s="52">
        <f>(I43+J43+K43+L43+M43)-((I43+J43+K43+L43+M43)*0.235)</f>
        <v>4125.014173197</v>
      </c>
      <c r="W43" s="98">
        <f>O43-U43</f>
        <v>5390</v>
      </c>
      <c r="X43" s="103">
        <f>$D$12*2</f>
        <v>510</v>
      </c>
      <c r="Y43" s="103">
        <f>$I$12*2</f>
        <v>0</v>
      </c>
      <c r="Z43" s="124">
        <f>$D$14*2</f>
        <v>100</v>
      </c>
      <c r="AA43" s="227">
        <f>W43+X43+Y43+Z43</f>
        <v>6000</v>
      </c>
    </row>
    <row r="44" spans="1:27" ht="12.75">
      <c r="A44" s="16">
        <v>838</v>
      </c>
      <c r="B44" s="3" t="s">
        <v>8</v>
      </c>
      <c r="C44" s="39">
        <v>1533</v>
      </c>
      <c r="D44" s="39">
        <v>439</v>
      </c>
      <c r="E44" s="39">
        <v>99</v>
      </c>
      <c r="F44" s="11">
        <f t="shared" si="34"/>
        <v>2386.730766</v>
      </c>
      <c r="G44" s="11">
        <f t="shared" si="34"/>
        <v>683.479978</v>
      </c>
      <c r="H44" s="11">
        <f t="shared" si="34"/>
        <v>154.133298</v>
      </c>
      <c r="I44" s="37">
        <f>G44+F44+H44</f>
        <v>3224.344042</v>
      </c>
      <c r="J44" s="47">
        <f>I44*0.1</f>
        <v>322.4344042</v>
      </c>
      <c r="K44" s="11">
        <f>$D$10*2</f>
        <v>1280</v>
      </c>
      <c r="L44" s="11">
        <v>45.51</v>
      </c>
      <c r="M44" s="47">
        <v>0</v>
      </c>
      <c r="N44" s="226">
        <f>IF((I44+J44+K44+L44+M44)-((I44+J44+K44+L44+M44)*0.235)&lt;$D$11*2,($D$11*2-((I44+J44+K44+L44+M44)-((I44+J44+K44+L44+M44)*0.235)))/0.765,0)</f>
        <v>2173.463187786928</v>
      </c>
      <c r="O44" s="14">
        <f>SUM(I44:N44)</f>
        <v>7045.751633986928</v>
      </c>
      <c r="P44" s="52">
        <f>$O44*11%</f>
        <v>775.0326797385621</v>
      </c>
      <c r="Q44" s="47">
        <f t="shared" si="35"/>
        <v>211.37254901960785</v>
      </c>
      <c r="R44" s="47">
        <f t="shared" si="35"/>
        <v>211.37254901960785</v>
      </c>
      <c r="S44" s="47">
        <f>$O44*2%</f>
        <v>140.91503267973857</v>
      </c>
      <c r="T44" s="14">
        <f>$O44*4.5%</f>
        <v>317.05882352941177</v>
      </c>
      <c r="U44" s="52">
        <f>SUM(Q44:T44)+P44</f>
        <v>1655.7516339869283</v>
      </c>
      <c r="V44" s="52">
        <f>(I44+J44+K44+L44+M44)-((I44+J44+K44+L44+M44)*0.235)</f>
        <v>3727.3006613430002</v>
      </c>
      <c r="W44" s="98">
        <f>O44-U44</f>
        <v>5390</v>
      </c>
      <c r="X44" s="103">
        <f>$D$12*2</f>
        <v>510</v>
      </c>
      <c r="Y44" s="103">
        <f>$I$12*2</f>
        <v>0</v>
      </c>
      <c r="Z44" s="124">
        <f>$D$14*2</f>
        <v>100</v>
      </c>
      <c r="AA44" s="227">
        <f>W44+X44+Y44+Z44</f>
        <v>6000</v>
      </c>
    </row>
    <row r="45" spans="1:27" ht="12.75">
      <c r="A45" s="16">
        <v>906</v>
      </c>
      <c r="B45" s="3" t="s">
        <v>90</v>
      </c>
      <c r="C45" s="39">
        <v>1506</v>
      </c>
      <c r="D45" s="39">
        <v>374</v>
      </c>
      <c r="E45" s="39">
        <v>100</v>
      </c>
      <c r="F45" s="11">
        <f t="shared" si="34"/>
        <v>2344.694412</v>
      </c>
      <c r="G45" s="11">
        <f t="shared" si="34"/>
        <v>582.281348</v>
      </c>
      <c r="H45" s="11">
        <f t="shared" si="34"/>
        <v>155.6902</v>
      </c>
      <c r="I45" s="37">
        <f>G45+F45+H45</f>
        <v>3082.66596</v>
      </c>
      <c r="J45" s="47">
        <f>I45*0.1</f>
        <v>308.266596</v>
      </c>
      <c r="K45" s="11">
        <f>$D$10*2</f>
        <v>1280</v>
      </c>
      <c r="L45" s="11"/>
      <c r="M45" s="47">
        <v>0</v>
      </c>
      <c r="N45" s="226">
        <f>IF((I45+J45+K45+L45+M45)-((I45+J45+K45+L45+M45)*0.235)&lt;$D$11*2,($D$11*2-((I45+J45+K45+L45+M45)-((I45+J45+K45+L45+M45)*0.235)))/0.765,0)</f>
        <v>2374.8190779869283</v>
      </c>
      <c r="O45" s="14">
        <f>SUM(I45:N45)</f>
        <v>7045.751633986928</v>
      </c>
      <c r="P45" s="52">
        <f>$O45*11%</f>
        <v>775.0326797385621</v>
      </c>
      <c r="Q45" s="47">
        <f t="shared" si="35"/>
        <v>211.37254901960785</v>
      </c>
      <c r="R45" s="47">
        <f t="shared" si="35"/>
        <v>211.37254901960785</v>
      </c>
      <c r="S45" s="47">
        <f>$O45*2%</f>
        <v>140.91503267973857</v>
      </c>
      <c r="T45" s="14">
        <f>$O45*4.5%</f>
        <v>317.05882352941177</v>
      </c>
      <c r="U45" s="52">
        <f>SUM(Q45:T45)+P45</f>
        <v>1655.7516339869283</v>
      </c>
      <c r="V45" s="52">
        <f>(I45+J45+K45+L45+M45)-((I45+J45+K45+L45+M45)*0.235)</f>
        <v>3573.2634053399997</v>
      </c>
      <c r="W45" s="98">
        <f>O45-U45</f>
        <v>5390</v>
      </c>
      <c r="X45" s="103">
        <f>$D$12*2</f>
        <v>510</v>
      </c>
      <c r="Y45" s="103">
        <f>$I$12*2</f>
        <v>0</v>
      </c>
      <c r="Z45" s="124">
        <f>$D$14*2</f>
        <v>100</v>
      </c>
      <c r="AA45" s="110">
        <f>W45+X45+Y45+Z45</f>
        <v>6000</v>
      </c>
    </row>
    <row r="46" spans="1:27" ht="13.5" thickBot="1">
      <c r="A46" s="17">
        <v>567</v>
      </c>
      <c r="B46" s="6" t="s">
        <v>15</v>
      </c>
      <c r="C46" s="40">
        <v>47</v>
      </c>
      <c r="D46" s="40">
        <v>8</v>
      </c>
      <c r="E46" s="40"/>
      <c r="F46" s="12">
        <f t="shared" si="34"/>
        <v>73.174394</v>
      </c>
      <c r="G46" s="12">
        <f t="shared" si="34"/>
        <v>12.455216</v>
      </c>
      <c r="H46" s="11">
        <f t="shared" si="34"/>
        <v>0</v>
      </c>
      <c r="I46" s="37">
        <f>G46+F46+H46</f>
        <v>85.62961000000001</v>
      </c>
      <c r="J46" s="48">
        <f>I46*0.1</f>
        <v>8.562961000000001</v>
      </c>
      <c r="K46" s="12">
        <f>$D$10/17</f>
        <v>37.64705882352941</v>
      </c>
      <c r="L46" s="12"/>
      <c r="M46" s="48">
        <v>0</v>
      </c>
      <c r="N46" s="15">
        <f>IF(((I46+J46+K46+L46+M46)*15)&lt;$I$11,($I$11/15-(I46+J46+K46+L46+M46)),0)</f>
        <v>103.01837017647057</v>
      </c>
      <c r="O46" s="15">
        <f>SUM(I46:N46)</f>
        <v>234.858</v>
      </c>
      <c r="P46" s="53">
        <f>$O46*11%</f>
        <v>25.83438</v>
      </c>
      <c r="Q46" s="48">
        <f t="shared" si="35"/>
        <v>7.0457399999999994</v>
      </c>
      <c r="R46" s="48">
        <f t="shared" si="35"/>
        <v>7.0457399999999994</v>
      </c>
      <c r="S46" s="48">
        <f>$O46*2%</f>
        <v>4.69716</v>
      </c>
      <c r="T46" s="15">
        <f>$O46*4.5%</f>
        <v>10.56861</v>
      </c>
      <c r="U46" s="53">
        <f>SUM(Q46:T46)+P46</f>
        <v>55.19163</v>
      </c>
      <c r="V46" s="53">
        <f>(I46+J46+K46+L46+M46)-((I46+J46+K46+L46+M46)*0.235)</f>
        <v>100.85731681500002</v>
      </c>
      <c r="W46" s="99">
        <f>O46-U46</f>
        <v>179.66637</v>
      </c>
      <c r="X46" s="104">
        <f>$D$12/15</f>
        <v>17</v>
      </c>
      <c r="Y46" s="104">
        <f>$I$12/15</f>
        <v>0</v>
      </c>
      <c r="Z46" s="123">
        <f>$D$14/17</f>
        <v>2.9411764705882355</v>
      </c>
      <c r="AA46" s="121">
        <f>W46+X46+Y46+Z46</f>
        <v>199.60754647058823</v>
      </c>
    </row>
    <row r="47" ht="13.5" thickBot="1"/>
    <row r="48" spans="1:27" s="13" customFormat="1" ht="21" thickBot="1">
      <c r="A48" s="193" t="s">
        <v>16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87"/>
      <c r="Y48" s="87"/>
      <c r="Z48" s="87"/>
      <c r="AA48" s="88"/>
    </row>
    <row r="49" spans="1:27" s="13" customFormat="1" ht="12.75" customHeight="1">
      <c r="A49" s="178" t="s">
        <v>1</v>
      </c>
      <c r="B49" s="180" t="s">
        <v>0</v>
      </c>
      <c r="C49" s="180" t="s">
        <v>2</v>
      </c>
      <c r="D49" s="180"/>
      <c r="E49" s="131"/>
      <c r="F49" s="182" t="s">
        <v>61</v>
      </c>
      <c r="G49" s="182" t="s">
        <v>62</v>
      </c>
      <c r="H49" s="207" t="s">
        <v>142</v>
      </c>
      <c r="I49" s="184" t="s">
        <v>68</v>
      </c>
      <c r="J49" s="184" t="s">
        <v>66</v>
      </c>
      <c r="K49" s="182" t="s">
        <v>132</v>
      </c>
      <c r="L49" s="182" t="s">
        <v>136</v>
      </c>
      <c r="M49" s="184" t="s">
        <v>77</v>
      </c>
      <c r="N49" s="186" t="s">
        <v>118</v>
      </c>
      <c r="O49" s="186" t="s">
        <v>117</v>
      </c>
      <c r="P49" s="188" t="s">
        <v>99</v>
      </c>
      <c r="Q49" s="189"/>
      <c r="R49" s="189"/>
      <c r="S49" s="189"/>
      <c r="T49" s="189"/>
      <c r="U49" s="190" t="s">
        <v>116</v>
      </c>
      <c r="V49" s="190" t="s">
        <v>115</v>
      </c>
      <c r="W49" s="206" t="s">
        <v>114</v>
      </c>
      <c r="X49" s="206" t="s">
        <v>121</v>
      </c>
      <c r="Y49" s="113"/>
      <c r="Z49" s="113"/>
      <c r="AA49" s="206" t="s">
        <v>122</v>
      </c>
    </row>
    <row r="50" spans="1:27" s="13" customFormat="1" ht="78" customHeight="1">
      <c r="A50" s="179"/>
      <c r="B50" s="181"/>
      <c r="C50" s="8" t="s">
        <v>3</v>
      </c>
      <c r="D50" s="8" t="s">
        <v>6</v>
      </c>
      <c r="E50" s="8" t="s">
        <v>141</v>
      </c>
      <c r="F50" s="183"/>
      <c r="G50" s="183"/>
      <c r="H50" s="182"/>
      <c r="I50" s="185"/>
      <c r="J50" s="185"/>
      <c r="K50" s="183"/>
      <c r="L50" s="183"/>
      <c r="M50" s="185"/>
      <c r="N50" s="187"/>
      <c r="O50" s="187"/>
      <c r="P50" s="63" t="s">
        <v>101</v>
      </c>
      <c r="Q50" s="62" t="s">
        <v>102</v>
      </c>
      <c r="R50" s="62" t="s">
        <v>103</v>
      </c>
      <c r="S50" s="64" t="s">
        <v>104</v>
      </c>
      <c r="T50" s="64" t="s">
        <v>105</v>
      </c>
      <c r="U50" s="191"/>
      <c r="V50" s="191"/>
      <c r="W50" s="205"/>
      <c r="X50" s="205"/>
      <c r="Y50" s="125" t="s">
        <v>140</v>
      </c>
      <c r="Z50" s="129" t="s">
        <v>145</v>
      </c>
      <c r="AA50" s="205"/>
    </row>
    <row r="51" spans="1:27" ht="12.75">
      <c r="A51" s="16">
        <v>834</v>
      </c>
      <c r="B51" s="3" t="s">
        <v>10</v>
      </c>
      <c r="C51" s="39">
        <v>2027</v>
      </c>
      <c r="D51" s="39">
        <v>399</v>
      </c>
      <c r="E51" s="39">
        <v>121</v>
      </c>
      <c r="F51" s="11">
        <f aca="true" t="shared" si="36" ref="F51:F56">C51*$D$9</f>
        <v>3155.840354</v>
      </c>
      <c r="G51" s="11">
        <f aca="true" t="shared" si="37" ref="G51:H56">D51*$D$9</f>
        <v>621.203898</v>
      </c>
      <c r="H51" s="11">
        <f t="shared" si="37"/>
        <v>188.385142</v>
      </c>
      <c r="I51" s="37">
        <f aca="true" t="shared" si="38" ref="I51:I56">G51+F51+H51</f>
        <v>3965.429394</v>
      </c>
      <c r="J51" s="47">
        <f aca="true" t="shared" si="39" ref="J51:J56">I51*0.1</f>
        <v>396.5429394</v>
      </c>
      <c r="K51" s="11">
        <f>$D$10*2</f>
        <v>1280</v>
      </c>
      <c r="L51" s="11">
        <v>270.1</v>
      </c>
      <c r="M51" s="47">
        <v>0</v>
      </c>
      <c r="N51" s="226">
        <f>IF((I51+J51+K51+L51+M51)-((I51+J51+K51+L51+M51)*0.235)&lt;$D$11*2,($D$11*2-((I51+J51+K51+L51+M51)-((I51+J51+K51+L51+M51)*0.235)))/0.765,0)</f>
        <v>1133.6793005869279</v>
      </c>
      <c r="O51" s="14">
        <f aca="true" t="shared" si="40" ref="O51:O56">SUM(I51:N51)</f>
        <v>7045.751633986928</v>
      </c>
      <c r="P51" s="52">
        <f aca="true" t="shared" si="41" ref="P51:P56">$O51*11%</f>
        <v>775.0326797385621</v>
      </c>
      <c r="Q51" s="47">
        <f aca="true" t="shared" si="42" ref="Q51:R56">$O51*3%</f>
        <v>211.37254901960785</v>
      </c>
      <c r="R51" s="47">
        <f t="shared" si="42"/>
        <v>211.37254901960785</v>
      </c>
      <c r="S51" s="47">
        <f aca="true" t="shared" si="43" ref="S51:S56">$O51*2%</f>
        <v>140.91503267973857</v>
      </c>
      <c r="T51" s="14">
        <f aca="true" t="shared" si="44" ref="T51:T56">$O51*4.5%</f>
        <v>317.05882352941177</v>
      </c>
      <c r="U51" s="52">
        <f aca="true" t="shared" si="45" ref="U51:U56">SUM(Q51:T51)+P51</f>
        <v>1655.7516339869283</v>
      </c>
      <c r="V51" s="52">
        <f>(I51+J51+K51+L51+M51)-((I51+J51+K51+L51+M51)*0.235)</f>
        <v>4522.735335051</v>
      </c>
      <c r="W51" s="98">
        <f aca="true" t="shared" si="46" ref="W51:W56">O51-U51</f>
        <v>5390</v>
      </c>
      <c r="X51" s="103">
        <f>$D$12*2</f>
        <v>510</v>
      </c>
      <c r="Y51" s="103">
        <f>$I$12*2</f>
        <v>0</v>
      </c>
      <c r="Z51" s="124">
        <f>$D$14*2</f>
        <v>100</v>
      </c>
      <c r="AA51" s="227">
        <f aca="true" t="shared" si="47" ref="AA51:AA56">W51+X51+Y51+Z51</f>
        <v>6000</v>
      </c>
    </row>
    <row r="52" spans="1:27" ht="12.75">
      <c r="A52" s="16">
        <v>870</v>
      </c>
      <c r="B52" s="3" t="s">
        <v>7</v>
      </c>
      <c r="C52" s="39">
        <v>1763</v>
      </c>
      <c r="D52" s="39">
        <v>436</v>
      </c>
      <c r="E52" s="39">
        <v>110</v>
      </c>
      <c r="F52" s="11">
        <f t="shared" si="36"/>
        <v>2744.818226</v>
      </c>
      <c r="G52" s="11">
        <f t="shared" si="37"/>
        <v>678.809272</v>
      </c>
      <c r="H52" s="11">
        <f t="shared" si="37"/>
        <v>171.25922</v>
      </c>
      <c r="I52" s="37">
        <f t="shared" si="38"/>
        <v>3594.8867179999997</v>
      </c>
      <c r="J52" s="47">
        <f t="shared" si="39"/>
        <v>359.4886718</v>
      </c>
      <c r="K52" s="11">
        <f>$D$10*2</f>
        <v>1280</v>
      </c>
      <c r="L52" s="11">
        <v>157.8</v>
      </c>
      <c r="M52" s="47">
        <v>0</v>
      </c>
      <c r="N52" s="226">
        <f>IF((I52+J52+K52+L52+M52)-((I52+J52+K52+L52+M52)*0.235)&lt;$D$11*2,($D$11*2-((I52+J52+K52+L52+M52)-((I52+J52+K52+L52+M52)*0.235)))/0.765,0)</f>
        <v>1653.5762441869283</v>
      </c>
      <c r="O52" s="14">
        <f t="shared" si="40"/>
        <v>7045.751633986928</v>
      </c>
      <c r="P52" s="52">
        <f t="shared" si="41"/>
        <v>775.0326797385621</v>
      </c>
      <c r="Q52" s="47">
        <f t="shared" si="42"/>
        <v>211.37254901960785</v>
      </c>
      <c r="R52" s="47">
        <f t="shared" si="42"/>
        <v>211.37254901960785</v>
      </c>
      <c r="S52" s="47">
        <f t="shared" si="43"/>
        <v>140.91503267973857</v>
      </c>
      <c r="T52" s="14">
        <f t="shared" si="44"/>
        <v>317.05882352941177</v>
      </c>
      <c r="U52" s="52">
        <f t="shared" si="45"/>
        <v>1655.7516339869283</v>
      </c>
      <c r="V52" s="52">
        <f>(I52+J52+K52+L52+M52)-((I52+J52+K52+L52+M52)*0.235)</f>
        <v>4125.014173197</v>
      </c>
      <c r="W52" s="98">
        <f t="shared" si="46"/>
        <v>5390</v>
      </c>
      <c r="X52" s="103">
        <f>$D$12*2</f>
        <v>510</v>
      </c>
      <c r="Y52" s="103">
        <f>$I$12*2</f>
        <v>0</v>
      </c>
      <c r="Z52" s="124">
        <f>$D$14*2</f>
        <v>100</v>
      </c>
      <c r="AA52" s="227">
        <f t="shared" si="47"/>
        <v>6000</v>
      </c>
    </row>
    <row r="53" spans="1:27" ht="12.75">
      <c r="A53" s="16">
        <v>849</v>
      </c>
      <c r="B53" s="3" t="s">
        <v>8</v>
      </c>
      <c r="C53" s="39">
        <v>1533</v>
      </c>
      <c r="D53" s="39">
        <v>439</v>
      </c>
      <c r="E53" s="39">
        <v>99</v>
      </c>
      <c r="F53" s="11">
        <f t="shared" si="36"/>
        <v>2386.730766</v>
      </c>
      <c r="G53" s="11">
        <f t="shared" si="37"/>
        <v>683.479978</v>
      </c>
      <c r="H53" s="11">
        <f t="shared" si="37"/>
        <v>154.133298</v>
      </c>
      <c r="I53" s="37">
        <f t="shared" si="38"/>
        <v>3224.344042</v>
      </c>
      <c r="J53" s="47">
        <f t="shared" si="39"/>
        <v>322.4344042</v>
      </c>
      <c r="K53" s="11">
        <f>$D$10*2</f>
        <v>1280</v>
      </c>
      <c r="L53" s="11">
        <v>45.51</v>
      </c>
      <c r="M53" s="47">
        <v>0</v>
      </c>
      <c r="N53" s="226">
        <f>IF((I53+J53+K53+L53+M53)-((I53+J53+K53+L53+M53)*0.235)&lt;$D$11*2,($D$11*2-((I53+J53+K53+L53+M53)-((I53+J53+K53+L53+M53)*0.235)))/0.765,0)</f>
        <v>2173.463187786928</v>
      </c>
      <c r="O53" s="14">
        <f t="shared" si="40"/>
        <v>7045.751633986928</v>
      </c>
      <c r="P53" s="52">
        <f t="shared" si="41"/>
        <v>775.0326797385621</v>
      </c>
      <c r="Q53" s="47">
        <f t="shared" si="42"/>
        <v>211.37254901960785</v>
      </c>
      <c r="R53" s="47">
        <f t="shared" si="42"/>
        <v>211.37254901960785</v>
      </c>
      <c r="S53" s="47">
        <f t="shared" si="43"/>
        <v>140.91503267973857</v>
      </c>
      <c r="T53" s="14">
        <f t="shared" si="44"/>
        <v>317.05882352941177</v>
      </c>
      <c r="U53" s="52">
        <f t="shared" si="45"/>
        <v>1655.7516339869283</v>
      </c>
      <c r="V53" s="52">
        <f>(I53+J53+K53+L53+M53)-((I53+J53+K53+L53+M53)*0.235)</f>
        <v>3727.3006613430002</v>
      </c>
      <c r="W53" s="98">
        <f t="shared" si="46"/>
        <v>5390</v>
      </c>
      <c r="X53" s="103">
        <f>$D$12*2</f>
        <v>510</v>
      </c>
      <c r="Y53" s="103">
        <f>$I$12*2</f>
        <v>0</v>
      </c>
      <c r="Z53" s="124">
        <f>$D$14*2</f>
        <v>100</v>
      </c>
      <c r="AA53" s="227">
        <f t="shared" si="47"/>
        <v>6000</v>
      </c>
    </row>
    <row r="54" spans="1:27" ht="12.75">
      <c r="A54" s="16">
        <v>855</v>
      </c>
      <c r="B54" s="3" t="s">
        <v>12</v>
      </c>
      <c r="C54" s="39">
        <v>1433</v>
      </c>
      <c r="D54" s="39">
        <v>282</v>
      </c>
      <c r="E54" s="39">
        <v>91</v>
      </c>
      <c r="F54" s="11">
        <f t="shared" si="36"/>
        <v>2231.040566</v>
      </c>
      <c r="G54" s="11">
        <f t="shared" si="37"/>
        <v>439.046364</v>
      </c>
      <c r="H54" s="11">
        <f t="shared" si="37"/>
        <v>141.678082</v>
      </c>
      <c r="I54" s="37">
        <f t="shared" si="38"/>
        <v>2811.765012</v>
      </c>
      <c r="J54" s="47">
        <f t="shared" si="39"/>
        <v>281.1765012</v>
      </c>
      <c r="K54" s="11">
        <f>$D$10*2</f>
        <v>1280</v>
      </c>
      <c r="L54" s="11"/>
      <c r="M54" s="47">
        <v>0</v>
      </c>
      <c r="N54" s="226">
        <f>IF((I54+J54+K54+L54+M54)-((I54+J54+K54+L54+M54)*0.235)&lt;$D$11*2,($D$11*2-((I54+J54+K54+L54+M54)-((I54+J54+K54+L54+M54)*0.235)))/0.765,0)</f>
        <v>2672.810120786928</v>
      </c>
      <c r="O54" s="14">
        <f t="shared" si="40"/>
        <v>7045.751633986927</v>
      </c>
      <c r="P54" s="52">
        <f t="shared" si="41"/>
        <v>775.032679738562</v>
      </c>
      <c r="Q54" s="47">
        <f t="shared" si="42"/>
        <v>211.37254901960782</v>
      </c>
      <c r="R54" s="47">
        <f t="shared" si="42"/>
        <v>211.37254901960782</v>
      </c>
      <c r="S54" s="47">
        <f t="shared" si="43"/>
        <v>140.91503267973854</v>
      </c>
      <c r="T54" s="14">
        <f t="shared" si="44"/>
        <v>317.0588235294117</v>
      </c>
      <c r="U54" s="52">
        <f t="shared" si="45"/>
        <v>1655.751633986928</v>
      </c>
      <c r="V54" s="52">
        <f>(I54+J54+K54)-((I54+J54+K54)*0.235)</f>
        <v>3345.300257598</v>
      </c>
      <c r="W54" s="98">
        <f t="shared" si="46"/>
        <v>5389.999999999999</v>
      </c>
      <c r="X54" s="103">
        <f>$D$12*2</f>
        <v>510</v>
      </c>
      <c r="Y54" s="103">
        <f>$I$12*2</f>
        <v>0</v>
      </c>
      <c r="Z54" s="124">
        <f>$D$14*2</f>
        <v>100</v>
      </c>
      <c r="AA54" s="227">
        <f t="shared" si="47"/>
        <v>5999.999999999999</v>
      </c>
    </row>
    <row r="55" spans="1:27" ht="12.75">
      <c r="A55" s="90">
        <v>856</v>
      </c>
      <c r="B55" s="29" t="s">
        <v>126</v>
      </c>
      <c r="C55" s="91">
        <v>1433</v>
      </c>
      <c r="D55" s="91">
        <v>282</v>
      </c>
      <c r="E55" s="91">
        <v>91</v>
      </c>
      <c r="F55" s="11">
        <f t="shared" si="36"/>
        <v>2231.040566</v>
      </c>
      <c r="G55" s="11">
        <f t="shared" si="37"/>
        <v>439.046364</v>
      </c>
      <c r="H55" s="11">
        <f t="shared" si="37"/>
        <v>141.678082</v>
      </c>
      <c r="I55" s="37">
        <f t="shared" si="38"/>
        <v>2811.765012</v>
      </c>
      <c r="J55" s="94">
        <f t="shared" si="39"/>
        <v>281.1765012</v>
      </c>
      <c r="K55" s="11">
        <f>$D$10*2</f>
        <v>1280</v>
      </c>
      <c r="L55" s="11"/>
      <c r="M55" s="47">
        <v>0</v>
      </c>
      <c r="N55" s="226">
        <f>IF((I55+J55+K55+L55+M55)-((I55+J55+K55+L55+M55)*0.235)&lt;$D$11*2,($D$11*2-((I55+J55+K55+L55+M55)-((I55+J55+K55+L55+M55)*0.235)))/0.765,0)</f>
        <v>2672.810120786928</v>
      </c>
      <c r="O55" s="14">
        <f t="shared" si="40"/>
        <v>7045.751633986927</v>
      </c>
      <c r="P55" s="52">
        <f t="shared" si="41"/>
        <v>775.032679738562</v>
      </c>
      <c r="Q55" s="47">
        <f t="shared" si="42"/>
        <v>211.37254901960782</v>
      </c>
      <c r="R55" s="47">
        <f t="shared" si="42"/>
        <v>211.37254901960782</v>
      </c>
      <c r="S55" s="47">
        <f t="shared" si="43"/>
        <v>140.91503267973854</v>
      </c>
      <c r="T55" s="14">
        <f t="shared" si="44"/>
        <v>317.0588235294117</v>
      </c>
      <c r="U55" s="52">
        <f t="shared" si="45"/>
        <v>1655.751633986928</v>
      </c>
      <c r="V55" s="52">
        <f>(I55+J55+K55)-((I55+J55+K55)*0.235)</f>
        <v>3345.300257598</v>
      </c>
      <c r="W55" s="98">
        <f t="shared" si="46"/>
        <v>5389.999999999999</v>
      </c>
      <c r="X55" s="103">
        <f>$D$12*2</f>
        <v>510</v>
      </c>
      <c r="Y55" s="103">
        <f>$I$12*2</f>
        <v>0</v>
      </c>
      <c r="Z55" s="124">
        <f>$D$14*2</f>
        <v>100</v>
      </c>
      <c r="AA55" s="227">
        <f t="shared" si="47"/>
        <v>5999.999999999999</v>
      </c>
    </row>
    <row r="56" spans="1:27" ht="13.5" thickBot="1">
      <c r="A56" s="17">
        <v>5567</v>
      </c>
      <c r="B56" s="6" t="s">
        <v>15</v>
      </c>
      <c r="C56" s="40">
        <v>47</v>
      </c>
      <c r="D56" s="40">
        <v>8</v>
      </c>
      <c r="E56" s="40"/>
      <c r="F56" s="12">
        <f t="shared" si="36"/>
        <v>73.174394</v>
      </c>
      <c r="G56" s="12">
        <f>D56*$D$9</f>
        <v>12.455216</v>
      </c>
      <c r="H56" s="11">
        <f t="shared" si="37"/>
        <v>0</v>
      </c>
      <c r="I56" s="37">
        <f t="shared" si="38"/>
        <v>85.62961000000001</v>
      </c>
      <c r="J56" s="48">
        <f t="shared" si="39"/>
        <v>8.562961000000001</v>
      </c>
      <c r="K56" s="12">
        <f>$D$10/17</f>
        <v>37.64705882352941</v>
      </c>
      <c r="L56" s="12"/>
      <c r="M56" s="48">
        <v>0</v>
      </c>
      <c r="N56" s="15">
        <f>IF(((I56+J56+K56+L56+M56)*15)&lt;$I$11,($I$11/15-(I56+J56+K56+L56+M56)),0)</f>
        <v>103.01837017647057</v>
      </c>
      <c r="O56" s="15">
        <f t="shared" si="40"/>
        <v>234.858</v>
      </c>
      <c r="P56" s="53">
        <f t="shared" si="41"/>
        <v>25.83438</v>
      </c>
      <c r="Q56" s="48">
        <f t="shared" si="42"/>
        <v>7.0457399999999994</v>
      </c>
      <c r="R56" s="48">
        <f t="shared" si="42"/>
        <v>7.0457399999999994</v>
      </c>
      <c r="S56" s="48">
        <f t="shared" si="43"/>
        <v>4.69716</v>
      </c>
      <c r="T56" s="15">
        <f t="shared" si="44"/>
        <v>10.56861</v>
      </c>
      <c r="U56" s="53">
        <f t="shared" si="45"/>
        <v>55.19163</v>
      </c>
      <c r="V56" s="53">
        <f>(I56+J56+K56)-((I56+J56+K56)*0.235)</f>
        <v>100.85731681500002</v>
      </c>
      <c r="W56" s="99">
        <f t="shared" si="46"/>
        <v>179.66637</v>
      </c>
      <c r="X56" s="104">
        <f>$D$12/15</f>
        <v>17</v>
      </c>
      <c r="Y56" s="104">
        <f>$I$12/15</f>
        <v>0</v>
      </c>
      <c r="Z56" s="123">
        <f>$D$14/17</f>
        <v>2.9411764705882355</v>
      </c>
      <c r="AA56" s="121">
        <f t="shared" si="47"/>
        <v>199.60754647058823</v>
      </c>
    </row>
    <row r="57" ht="13.5" thickBot="1"/>
    <row r="58" spans="1:27" ht="21" thickBot="1">
      <c r="A58" s="176" t="s">
        <v>17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83"/>
      <c r="Y58" s="83"/>
      <c r="Z58" s="83"/>
      <c r="AA58" s="84"/>
    </row>
    <row r="59" spans="1:27" s="13" customFormat="1" ht="12.75" customHeight="1">
      <c r="A59" s="178" t="s">
        <v>1</v>
      </c>
      <c r="B59" s="180" t="s">
        <v>0</v>
      </c>
      <c r="C59" s="180" t="s">
        <v>2</v>
      </c>
      <c r="D59" s="180"/>
      <c r="E59" s="131"/>
      <c r="F59" s="182" t="s">
        <v>61</v>
      </c>
      <c r="G59" s="182" t="s">
        <v>62</v>
      </c>
      <c r="H59" s="207" t="s">
        <v>142</v>
      </c>
      <c r="I59" s="184" t="s">
        <v>68</v>
      </c>
      <c r="J59" s="184" t="s">
        <v>66</v>
      </c>
      <c r="K59" s="182" t="s">
        <v>132</v>
      </c>
      <c r="L59" s="182" t="s">
        <v>136</v>
      </c>
      <c r="M59" s="184" t="s">
        <v>77</v>
      </c>
      <c r="N59" s="186" t="s">
        <v>118</v>
      </c>
      <c r="O59" s="186" t="s">
        <v>117</v>
      </c>
      <c r="P59" s="188" t="s">
        <v>99</v>
      </c>
      <c r="Q59" s="189"/>
      <c r="R59" s="189"/>
      <c r="S59" s="189"/>
      <c r="T59" s="189"/>
      <c r="U59" s="190" t="s">
        <v>116</v>
      </c>
      <c r="V59" s="190" t="s">
        <v>115</v>
      </c>
      <c r="W59" s="192" t="s">
        <v>114</v>
      </c>
      <c r="X59" s="206" t="s">
        <v>121</v>
      </c>
      <c r="Y59" s="113"/>
      <c r="Z59" s="113"/>
      <c r="AA59" s="206" t="s">
        <v>122</v>
      </c>
    </row>
    <row r="60" spans="1:27" s="13" customFormat="1" ht="78" customHeight="1">
      <c r="A60" s="179"/>
      <c r="B60" s="181"/>
      <c r="C60" s="8" t="s">
        <v>3</v>
      </c>
      <c r="D60" s="8" t="s">
        <v>6</v>
      </c>
      <c r="E60" s="8" t="s">
        <v>141</v>
      </c>
      <c r="F60" s="183"/>
      <c r="G60" s="183"/>
      <c r="H60" s="182"/>
      <c r="I60" s="185"/>
      <c r="J60" s="185"/>
      <c r="K60" s="183"/>
      <c r="L60" s="183"/>
      <c r="M60" s="185"/>
      <c r="N60" s="187"/>
      <c r="O60" s="187"/>
      <c r="P60" s="63" t="s">
        <v>101</v>
      </c>
      <c r="Q60" s="62" t="s">
        <v>102</v>
      </c>
      <c r="R60" s="62" t="s">
        <v>103</v>
      </c>
      <c r="S60" s="64" t="s">
        <v>104</v>
      </c>
      <c r="T60" s="64" t="s">
        <v>105</v>
      </c>
      <c r="U60" s="191"/>
      <c r="V60" s="191"/>
      <c r="W60" s="188"/>
      <c r="X60" s="205"/>
      <c r="Y60" s="125" t="s">
        <v>140</v>
      </c>
      <c r="Z60" s="129" t="s">
        <v>145</v>
      </c>
      <c r="AA60" s="205"/>
    </row>
    <row r="61" spans="1:27" ht="12.75">
      <c r="A61" s="16">
        <v>578</v>
      </c>
      <c r="B61" s="3" t="s">
        <v>10</v>
      </c>
      <c r="C61" s="39">
        <v>800</v>
      </c>
      <c r="D61" s="39">
        <v>200</v>
      </c>
      <c r="E61" s="39">
        <v>50</v>
      </c>
      <c r="F61" s="11">
        <f aca="true" t="shared" si="48" ref="F61:F66">C61*$D$9</f>
        <v>1245.5216</v>
      </c>
      <c r="G61" s="11">
        <f aca="true" t="shared" si="49" ref="G61:H66">D61*$D$9</f>
        <v>311.3804</v>
      </c>
      <c r="H61" s="11">
        <f t="shared" si="49"/>
        <v>77.8451</v>
      </c>
      <c r="I61" s="37">
        <f aca="true" t="shared" si="50" ref="I61:I66">G61+F61+H61</f>
        <v>1634.7471</v>
      </c>
      <c r="J61" s="47">
        <f aca="true" t="shared" si="51" ref="J61:J66">I61*0.1</f>
        <v>163.47471000000002</v>
      </c>
      <c r="K61" s="11">
        <f>$D$10</f>
        <v>640</v>
      </c>
      <c r="L61" s="11"/>
      <c r="M61" s="47">
        <v>0</v>
      </c>
      <c r="N61" s="14">
        <f>IF((I61+J61+K61+L61+M61)-((I61+J61+K61+L61+M61)*0.235)&lt;$D$11,($D$11-((I61+J61+K61+L61+M61)-((I61+J61+K61+L61+M61)*0.235)))/0.765,0)</f>
        <v>1084.654006993464</v>
      </c>
      <c r="O61" s="14">
        <f aca="true" t="shared" si="52" ref="O61:O66">SUM(I61:N61)</f>
        <v>3522.875816993464</v>
      </c>
      <c r="P61" s="52">
        <f aca="true" t="shared" si="53" ref="P61:P66">$O61*11%</f>
        <v>387.51633986928107</v>
      </c>
      <c r="Q61" s="47">
        <f aca="true" t="shared" si="54" ref="Q61:R66">$O61*3%</f>
        <v>105.68627450980392</v>
      </c>
      <c r="R61" s="47">
        <f t="shared" si="54"/>
        <v>105.68627450980392</v>
      </c>
      <c r="S61" s="47">
        <f aca="true" t="shared" si="55" ref="S61:S66">$O61*2%</f>
        <v>70.45751633986929</v>
      </c>
      <c r="T61" s="14">
        <f aca="true" t="shared" si="56" ref="T61:T66">$O61*4.5%</f>
        <v>158.52941176470588</v>
      </c>
      <c r="U61" s="52">
        <f aca="true" t="shared" si="57" ref="U61:U66">SUM(Q61:T61)+P61</f>
        <v>827.8758169934641</v>
      </c>
      <c r="V61" s="52">
        <f>(I61+J61+K61+L61+M61)-((I61+J61+K61+L61+M61)*0.235)</f>
        <v>1865.23968465</v>
      </c>
      <c r="W61" s="109">
        <f aca="true" t="shared" si="58" ref="W61:W66">O61-U61</f>
        <v>2695</v>
      </c>
      <c r="X61" s="103">
        <f>$D$12</f>
        <v>255</v>
      </c>
      <c r="Y61" s="103">
        <f>$I$12</f>
        <v>0</v>
      </c>
      <c r="Z61" s="122">
        <f>$D$14</f>
        <v>50</v>
      </c>
      <c r="AA61" s="110">
        <f aca="true" t="shared" si="59" ref="AA61:AA66">W61+X61+Y61+Z61</f>
        <v>3000</v>
      </c>
    </row>
    <row r="62" spans="1:27" ht="12.75">
      <c r="A62" s="16">
        <v>854</v>
      </c>
      <c r="B62" s="3" t="s">
        <v>8</v>
      </c>
      <c r="C62" s="39">
        <v>693</v>
      </c>
      <c r="D62" s="39">
        <v>173</v>
      </c>
      <c r="E62" s="141"/>
      <c r="F62" s="11">
        <f t="shared" si="48"/>
        <v>1078.933086</v>
      </c>
      <c r="G62" s="11">
        <f t="shared" si="49"/>
        <v>269.344046</v>
      </c>
      <c r="H62" s="11">
        <f t="shared" si="49"/>
        <v>0</v>
      </c>
      <c r="I62" s="37">
        <f t="shared" si="50"/>
        <v>1348.277132</v>
      </c>
      <c r="J62" s="47">
        <f t="shared" si="51"/>
        <v>134.8277132</v>
      </c>
      <c r="K62" s="11">
        <f>$D$10</f>
        <v>640</v>
      </c>
      <c r="L62" s="11"/>
      <c r="M62" s="47">
        <v>0</v>
      </c>
      <c r="N62" s="14">
        <f>IF((I62+J62+K62+L62+M62)-((I62+J62+K62+L62+M62)*0.235)&lt;$D$11,($D$11-((I62+J62+K62+L62+M62)-((I62+J62+K62+L62+M62)*0.235)))/0.765,0)</f>
        <v>1399.7709717934638</v>
      </c>
      <c r="O62" s="14">
        <f t="shared" si="52"/>
        <v>3522.8758169934636</v>
      </c>
      <c r="P62" s="52">
        <f t="shared" si="53"/>
        <v>387.516339869281</v>
      </c>
      <c r="Q62" s="47">
        <f t="shared" si="54"/>
        <v>105.68627450980391</v>
      </c>
      <c r="R62" s="47">
        <f t="shared" si="54"/>
        <v>105.68627450980391</v>
      </c>
      <c r="S62" s="47">
        <f t="shared" si="55"/>
        <v>70.45751633986927</v>
      </c>
      <c r="T62" s="14">
        <f t="shared" si="56"/>
        <v>158.52941176470586</v>
      </c>
      <c r="U62" s="52">
        <f t="shared" si="57"/>
        <v>827.875816993464</v>
      </c>
      <c r="V62" s="52">
        <f>(I62+J62+K62+L62+M62)-((I62+J62+K62+L62+M62)*0.235)</f>
        <v>1624.1752065780001</v>
      </c>
      <c r="W62" s="109">
        <f t="shared" si="58"/>
        <v>2694.9999999999995</v>
      </c>
      <c r="X62" s="103">
        <f>$D$12</f>
        <v>255</v>
      </c>
      <c r="Y62" s="103">
        <f>$I$12</f>
        <v>0</v>
      </c>
      <c r="Z62" s="122">
        <f>$D$14</f>
        <v>50</v>
      </c>
      <c r="AA62" s="110">
        <f t="shared" si="59"/>
        <v>2999.9999999999995</v>
      </c>
    </row>
    <row r="63" spans="1:27" ht="12.75">
      <c r="A63" s="16">
        <v>875</v>
      </c>
      <c r="B63" s="96" t="s">
        <v>139</v>
      </c>
      <c r="C63" s="39">
        <v>753</v>
      </c>
      <c r="D63" s="39">
        <v>187</v>
      </c>
      <c r="E63" s="39"/>
      <c r="F63" s="11">
        <f t="shared" si="48"/>
        <v>1172.347206</v>
      </c>
      <c r="G63" s="11">
        <f t="shared" si="49"/>
        <v>291.140674</v>
      </c>
      <c r="H63" s="11">
        <f t="shared" si="49"/>
        <v>0</v>
      </c>
      <c r="I63" s="37">
        <f t="shared" si="50"/>
        <v>1463.48788</v>
      </c>
      <c r="J63" s="47">
        <f t="shared" si="51"/>
        <v>146.34878799999998</v>
      </c>
      <c r="K63" s="11">
        <f>$D$10</f>
        <v>640</v>
      </c>
      <c r="L63" s="11"/>
      <c r="M63" s="47">
        <v>0</v>
      </c>
      <c r="N63" s="14">
        <f>IF((I63+J63+K63+L63+M63)-((I63+J63+K63+L63+M63)*0.235)&lt;$D$11,($D$11-((I63+J63+K63+L63+M63)-((I63+J63+K63+L63+M63)*0.235)))/0.765,0)</f>
        <v>1273.039148993464</v>
      </c>
      <c r="O63" s="14">
        <f t="shared" si="52"/>
        <v>3522.875816993464</v>
      </c>
      <c r="P63" s="52">
        <f t="shared" si="53"/>
        <v>387.51633986928107</v>
      </c>
      <c r="Q63" s="47">
        <f t="shared" si="54"/>
        <v>105.68627450980392</v>
      </c>
      <c r="R63" s="47">
        <f t="shared" si="54"/>
        <v>105.68627450980392</v>
      </c>
      <c r="S63" s="47">
        <f t="shared" si="55"/>
        <v>70.45751633986929</v>
      </c>
      <c r="T63" s="14">
        <f t="shared" si="56"/>
        <v>158.52941176470588</v>
      </c>
      <c r="U63" s="52">
        <f t="shared" si="57"/>
        <v>827.8758169934641</v>
      </c>
      <c r="V63" s="52">
        <f>(I63+J63+K63+L63+M63)-((I63+J63+K63+L63+M63)*0.235)</f>
        <v>1721.12505102</v>
      </c>
      <c r="W63" s="109">
        <f t="shared" si="58"/>
        <v>2695</v>
      </c>
      <c r="X63" s="103">
        <f>$D$12</f>
        <v>255</v>
      </c>
      <c r="Y63" s="103">
        <f>$I$12</f>
        <v>0</v>
      </c>
      <c r="Z63" s="122">
        <f>$D$14</f>
        <v>50</v>
      </c>
      <c r="AA63" s="110">
        <f t="shared" si="59"/>
        <v>3000</v>
      </c>
    </row>
    <row r="64" spans="1:27" ht="12.75">
      <c r="A64" s="16">
        <v>577</v>
      </c>
      <c r="B64" s="3" t="s">
        <v>18</v>
      </c>
      <c r="C64" s="39">
        <v>603</v>
      </c>
      <c r="D64" s="39">
        <v>132</v>
      </c>
      <c r="E64" s="39">
        <v>37</v>
      </c>
      <c r="F64" s="11">
        <f t="shared" si="48"/>
        <v>938.811906</v>
      </c>
      <c r="G64" s="11">
        <f t="shared" si="49"/>
        <v>205.511064</v>
      </c>
      <c r="H64" s="11">
        <f t="shared" si="49"/>
        <v>57.605374</v>
      </c>
      <c r="I64" s="37">
        <f t="shared" si="50"/>
        <v>1201.928344</v>
      </c>
      <c r="J64" s="47">
        <f t="shared" si="51"/>
        <v>120.1928344</v>
      </c>
      <c r="K64" s="11">
        <f>$D$10</f>
        <v>640</v>
      </c>
      <c r="L64" s="11"/>
      <c r="M64" s="47">
        <v>0</v>
      </c>
      <c r="N64" s="14">
        <f>IF((I64+J64+K64+L64+M64)-((I64+J64+K64+L64+M64)*0.235)&lt;$D$11,($D$11-((I64+J64+K64+L64+M64)-((I64+J64+K64+L64+M64)*0.235)))/0.765,0)</f>
        <v>1560.754638593464</v>
      </c>
      <c r="O64" s="14">
        <f t="shared" si="52"/>
        <v>3522.875816993464</v>
      </c>
      <c r="P64" s="52">
        <f t="shared" si="53"/>
        <v>387.51633986928107</v>
      </c>
      <c r="Q64" s="47">
        <f t="shared" si="54"/>
        <v>105.68627450980392</v>
      </c>
      <c r="R64" s="47">
        <f t="shared" si="54"/>
        <v>105.68627450980392</v>
      </c>
      <c r="S64" s="47">
        <f t="shared" si="55"/>
        <v>70.45751633986929</v>
      </c>
      <c r="T64" s="14">
        <f t="shared" si="56"/>
        <v>158.52941176470588</v>
      </c>
      <c r="U64" s="52">
        <f t="shared" si="57"/>
        <v>827.8758169934641</v>
      </c>
      <c r="V64" s="52">
        <f>(I64+J64+K64+L64+M64)-((I64+J64+K64+L64+M64)*0.235)</f>
        <v>1501.022701476</v>
      </c>
      <c r="W64" s="109">
        <f t="shared" si="58"/>
        <v>2695</v>
      </c>
      <c r="X64" s="103">
        <f>$D$12</f>
        <v>255</v>
      </c>
      <c r="Y64" s="103">
        <f>$I$12</f>
        <v>0</v>
      </c>
      <c r="Z64" s="122">
        <f>$D$14</f>
        <v>50</v>
      </c>
      <c r="AA64" s="110">
        <f t="shared" si="59"/>
        <v>3000</v>
      </c>
    </row>
    <row r="65" spans="1:27" ht="12.75">
      <c r="A65" s="16">
        <v>559</v>
      </c>
      <c r="B65" s="3" t="s">
        <v>19</v>
      </c>
      <c r="C65" s="39">
        <v>470</v>
      </c>
      <c r="D65" s="39">
        <v>80</v>
      </c>
      <c r="E65" s="39"/>
      <c r="F65" s="11">
        <f t="shared" si="48"/>
        <v>731.74394</v>
      </c>
      <c r="G65" s="11">
        <f t="shared" si="49"/>
        <v>124.55216</v>
      </c>
      <c r="H65" s="11">
        <f t="shared" si="49"/>
        <v>0</v>
      </c>
      <c r="I65" s="37">
        <f t="shared" si="50"/>
        <v>856.2960999999999</v>
      </c>
      <c r="J65" s="47">
        <f t="shared" si="51"/>
        <v>85.62961</v>
      </c>
      <c r="K65" s="11">
        <f>$D$10</f>
        <v>640</v>
      </c>
      <c r="L65" s="11"/>
      <c r="M65" s="47">
        <v>0</v>
      </c>
      <c r="N65" s="14">
        <f>IF((I65+J65+K65+L65+M65)-((I65+J65+K65+L65+M65)*0.235)&lt;$D$11,($D$11-((I65+J65+K65+L65+M65)-((I65+J65+K65+L65+M65)*0.235)))/0.765,0)</f>
        <v>1940.950106993464</v>
      </c>
      <c r="O65" s="14">
        <f t="shared" si="52"/>
        <v>3522.875816993464</v>
      </c>
      <c r="P65" s="52">
        <f t="shared" si="53"/>
        <v>387.51633986928107</v>
      </c>
      <c r="Q65" s="47">
        <f t="shared" si="54"/>
        <v>105.68627450980392</v>
      </c>
      <c r="R65" s="47">
        <f t="shared" si="54"/>
        <v>105.68627450980392</v>
      </c>
      <c r="S65" s="47">
        <f t="shared" si="55"/>
        <v>70.45751633986929</v>
      </c>
      <c r="T65" s="14">
        <f t="shared" si="56"/>
        <v>158.52941176470588</v>
      </c>
      <c r="U65" s="52">
        <f t="shared" si="57"/>
        <v>827.8758169934641</v>
      </c>
      <c r="V65" s="52">
        <f>(I65+J65+K65)-((I65+J65+K65)*0.235)</f>
        <v>1210.17316815</v>
      </c>
      <c r="W65" s="109">
        <f t="shared" si="58"/>
        <v>2695</v>
      </c>
      <c r="X65" s="103">
        <f>$D$12</f>
        <v>255</v>
      </c>
      <c r="Y65" s="103">
        <f>$I$12</f>
        <v>0</v>
      </c>
      <c r="Z65" s="122">
        <f>$D$14</f>
        <v>50</v>
      </c>
      <c r="AA65" s="110">
        <f t="shared" si="59"/>
        <v>3000</v>
      </c>
    </row>
    <row r="66" spans="1:27" ht="13.5" thickBot="1">
      <c r="A66" s="17">
        <v>5568</v>
      </c>
      <c r="B66" s="6" t="s">
        <v>15</v>
      </c>
      <c r="C66" s="40">
        <v>47</v>
      </c>
      <c r="D66" s="40">
        <v>8</v>
      </c>
      <c r="E66" s="40"/>
      <c r="F66" s="12">
        <f t="shared" si="48"/>
        <v>73.174394</v>
      </c>
      <c r="G66" s="12">
        <f>D66*$D$9</f>
        <v>12.455216</v>
      </c>
      <c r="H66" s="11">
        <f t="shared" si="49"/>
        <v>0</v>
      </c>
      <c r="I66" s="37">
        <f t="shared" si="50"/>
        <v>85.62961000000001</v>
      </c>
      <c r="J66" s="48">
        <f t="shared" si="51"/>
        <v>8.562961000000001</v>
      </c>
      <c r="K66" s="12">
        <f>$D$10/17</f>
        <v>37.64705882352941</v>
      </c>
      <c r="L66" s="12"/>
      <c r="M66" s="48">
        <v>0</v>
      </c>
      <c r="N66" s="15">
        <f>IF(((I66+J66+K66+L66+M66)*15)&lt;$I$11,($I$11/15-(I66+J66+K66+L66+M66)),0)</f>
        <v>103.01837017647057</v>
      </c>
      <c r="O66" s="15">
        <f t="shared" si="52"/>
        <v>234.858</v>
      </c>
      <c r="P66" s="53">
        <f t="shared" si="53"/>
        <v>25.83438</v>
      </c>
      <c r="Q66" s="48">
        <f t="shared" si="54"/>
        <v>7.0457399999999994</v>
      </c>
      <c r="R66" s="48">
        <f t="shared" si="54"/>
        <v>7.0457399999999994</v>
      </c>
      <c r="S66" s="48">
        <f t="shared" si="55"/>
        <v>4.69716</v>
      </c>
      <c r="T66" s="15">
        <f t="shared" si="56"/>
        <v>10.56861</v>
      </c>
      <c r="U66" s="53">
        <f t="shared" si="57"/>
        <v>55.19163</v>
      </c>
      <c r="V66" s="53">
        <f>(I66+J66+K66)-((I66+J66+K66)*0.235)</f>
        <v>100.85731681500002</v>
      </c>
      <c r="W66" s="107">
        <f t="shared" si="58"/>
        <v>179.66637</v>
      </c>
      <c r="X66" s="104">
        <f>$D$12/15</f>
        <v>17</v>
      </c>
      <c r="Y66" s="104">
        <f>$I$12/15</f>
        <v>0</v>
      </c>
      <c r="Z66" s="123">
        <f>$D$14/17</f>
        <v>2.9411764705882355</v>
      </c>
      <c r="AA66" s="121">
        <f t="shared" si="59"/>
        <v>199.60754647058823</v>
      </c>
    </row>
    <row r="67" ht="13.5" thickBot="1"/>
    <row r="68" spans="1:27" ht="21" thickBot="1">
      <c r="A68" s="195" t="s">
        <v>63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83"/>
      <c r="Y68" s="83"/>
      <c r="Z68" s="83"/>
      <c r="AA68" s="84"/>
    </row>
    <row r="69" spans="1:27" s="13" customFormat="1" ht="12.75" customHeight="1">
      <c r="A69" s="211" t="s">
        <v>1</v>
      </c>
      <c r="B69" s="212" t="s">
        <v>0</v>
      </c>
      <c r="C69" s="212" t="s">
        <v>2</v>
      </c>
      <c r="D69" s="212"/>
      <c r="E69" s="132"/>
      <c r="F69" s="213" t="s">
        <v>61</v>
      </c>
      <c r="G69" s="213" t="s">
        <v>62</v>
      </c>
      <c r="H69" s="207" t="s">
        <v>142</v>
      </c>
      <c r="I69" s="214" t="s">
        <v>68</v>
      </c>
      <c r="J69" s="214" t="s">
        <v>66</v>
      </c>
      <c r="K69" s="213" t="s">
        <v>132</v>
      </c>
      <c r="L69" s="213" t="s">
        <v>136</v>
      </c>
      <c r="M69" s="214" t="s">
        <v>77</v>
      </c>
      <c r="N69" s="208" t="s">
        <v>118</v>
      </c>
      <c r="O69" s="208" t="s">
        <v>117</v>
      </c>
      <c r="P69" s="209" t="s">
        <v>99</v>
      </c>
      <c r="Q69" s="210"/>
      <c r="R69" s="210"/>
      <c r="S69" s="210"/>
      <c r="T69" s="210"/>
      <c r="U69" s="215" t="s">
        <v>116</v>
      </c>
      <c r="V69" s="215" t="s">
        <v>115</v>
      </c>
      <c r="W69" s="216" t="s">
        <v>114</v>
      </c>
      <c r="X69" s="206" t="s">
        <v>121</v>
      </c>
      <c r="Y69" s="113"/>
      <c r="Z69" s="113"/>
      <c r="AA69" s="206" t="s">
        <v>122</v>
      </c>
    </row>
    <row r="70" spans="1:27" s="13" customFormat="1" ht="78" customHeight="1">
      <c r="A70" s="179"/>
      <c r="B70" s="181"/>
      <c r="C70" s="8" t="s">
        <v>3</v>
      </c>
      <c r="D70" s="8" t="s">
        <v>6</v>
      </c>
      <c r="E70" s="8" t="s">
        <v>141</v>
      </c>
      <c r="F70" s="183"/>
      <c r="G70" s="183"/>
      <c r="H70" s="182"/>
      <c r="I70" s="185"/>
      <c r="J70" s="185"/>
      <c r="K70" s="183"/>
      <c r="L70" s="183"/>
      <c r="M70" s="185"/>
      <c r="N70" s="187"/>
      <c r="O70" s="187"/>
      <c r="P70" s="63" t="s">
        <v>101</v>
      </c>
      <c r="Q70" s="62" t="s">
        <v>102</v>
      </c>
      <c r="R70" s="62" t="s">
        <v>103</v>
      </c>
      <c r="S70" s="64" t="s">
        <v>104</v>
      </c>
      <c r="T70" s="64" t="s">
        <v>105</v>
      </c>
      <c r="U70" s="191"/>
      <c r="V70" s="191"/>
      <c r="W70" s="188"/>
      <c r="X70" s="205"/>
      <c r="Y70" s="125" t="s">
        <v>140</v>
      </c>
      <c r="Z70" s="129" t="s">
        <v>145</v>
      </c>
      <c r="AA70" s="205"/>
    </row>
    <row r="71" spans="1:27" ht="12.75">
      <c r="A71" s="16">
        <v>505</v>
      </c>
      <c r="B71" s="3" t="s">
        <v>69</v>
      </c>
      <c r="C71" s="39">
        <v>2027</v>
      </c>
      <c r="D71" s="39">
        <v>399</v>
      </c>
      <c r="E71" s="39">
        <v>121</v>
      </c>
      <c r="F71" s="11">
        <f aca="true" t="shared" si="60" ref="F71:F87">C71*$D$9</f>
        <v>3155.840354</v>
      </c>
      <c r="G71" s="11">
        <f aca="true" t="shared" si="61" ref="G71:H87">D71*$D$9</f>
        <v>621.203898</v>
      </c>
      <c r="H71" s="11">
        <f t="shared" si="61"/>
        <v>188.385142</v>
      </c>
      <c r="I71" s="37">
        <f aca="true" t="shared" si="62" ref="I71:I89">G71+F71+H71</f>
        <v>3965.429394</v>
      </c>
      <c r="J71" s="47">
        <f aca="true" t="shared" si="63" ref="J71:J95">I71*0.1</f>
        <v>396.5429394</v>
      </c>
      <c r="K71" s="11">
        <f>$D$10*2</f>
        <v>1280</v>
      </c>
      <c r="L71" s="11">
        <v>270.1</v>
      </c>
      <c r="M71" s="47">
        <f>($I71+K71)*0.15</f>
        <v>786.8144090999999</v>
      </c>
      <c r="N71" s="14">
        <f>IF((I71+J71+K71+L71+M71)-((I71+J71+K71+L71+M71)*0.235)&lt;$D$11*2,($D$11*2-((I71+J71+K71+L71+M71)-((I71+J71+K71+L71+M71)*0.235)))/0.765,0)</f>
        <v>346.8648914869275</v>
      </c>
      <c r="O71" s="14">
        <f aca="true" t="shared" si="64" ref="O71:O95">SUM(I71:N71)</f>
        <v>7045.751633986928</v>
      </c>
      <c r="P71" s="52">
        <f aca="true" t="shared" si="65" ref="P71:P95">$O71*11%</f>
        <v>775.0326797385621</v>
      </c>
      <c r="Q71" s="47">
        <f aca="true" t="shared" si="66" ref="Q71:R95">$O71*3%</f>
        <v>211.37254901960785</v>
      </c>
      <c r="R71" s="47">
        <f t="shared" si="66"/>
        <v>211.37254901960785</v>
      </c>
      <c r="S71" s="47">
        <f aca="true" t="shared" si="67" ref="S71:S95">$O71*2%</f>
        <v>140.91503267973857</v>
      </c>
      <c r="T71" s="14">
        <f aca="true" t="shared" si="68" ref="T71:T95">$O71*4.5%</f>
        <v>317.05882352941177</v>
      </c>
      <c r="U71" s="52">
        <f aca="true" t="shared" si="69" ref="U71:U95">SUM(Q71:T71)+P71</f>
        <v>1655.7516339869283</v>
      </c>
      <c r="V71" s="52">
        <f aca="true" t="shared" si="70" ref="V71:V76">(I71+J71+K71+L71+M71)-((I71+J71+K71+L71+M71)*0.235)</f>
        <v>5124.6483580125005</v>
      </c>
      <c r="W71" s="109">
        <f aca="true" t="shared" si="71" ref="W71:W95">O71-U71</f>
        <v>5390</v>
      </c>
      <c r="X71" s="103">
        <f>$D$12*2</f>
        <v>510</v>
      </c>
      <c r="Y71" s="103">
        <f>$I$12*2</f>
        <v>0</v>
      </c>
      <c r="Z71" s="124">
        <f>$D$14*2</f>
        <v>100</v>
      </c>
      <c r="AA71" s="110">
        <f aca="true" t="shared" si="72" ref="AA71:AA95">W71+X71+Y71+Z71</f>
        <v>6000</v>
      </c>
    </row>
    <row r="72" spans="1:27" ht="12.75">
      <c r="A72" s="16">
        <v>551</v>
      </c>
      <c r="B72" s="3" t="s">
        <v>70</v>
      </c>
      <c r="C72" s="39">
        <v>1763</v>
      </c>
      <c r="D72" s="39">
        <v>436</v>
      </c>
      <c r="E72" s="39">
        <v>110</v>
      </c>
      <c r="F72" s="11">
        <f t="shared" si="60"/>
        <v>2744.818226</v>
      </c>
      <c r="G72" s="11">
        <f t="shared" si="61"/>
        <v>678.809272</v>
      </c>
      <c r="H72" s="11">
        <f t="shared" si="61"/>
        <v>171.25922</v>
      </c>
      <c r="I72" s="37">
        <f t="shared" si="62"/>
        <v>3594.8867179999997</v>
      </c>
      <c r="J72" s="47">
        <f t="shared" si="63"/>
        <v>359.4886718</v>
      </c>
      <c r="K72" s="11">
        <f>$D$10*2</f>
        <v>1280</v>
      </c>
      <c r="L72" s="11">
        <v>157.8</v>
      </c>
      <c r="M72" s="47">
        <f>($I72+K72)*0.15</f>
        <v>731.2330076999999</v>
      </c>
      <c r="N72" s="14">
        <f>IF((I72+J72+K72+L72+M72)-((I72+J72+K72+L72+M72)*0.235)&lt;$D$11*2,($D$11*2-((I72+J72+K72+L72+M72)-((I72+J72+K72+L72+M72)*0.235)))/0.765,0)</f>
        <v>922.3432364869284</v>
      </c>
      <c r="O72" s="14">
        <f t="shared" si="64"/>
        <v>7045.751633986928</v>
      </c>
      <c r="P72" s="52">
        <f t="shared" si="65"/>
        <v>775.0326797385621</v>
      </c>
      <c r="Q72" s="47">
        <f t="shared" si="66"/>
        <v>211.37254901960785</v>
      </c>
      <c r="R72" s="47">
        <f t="shared" si="66"/>
        <v>211.37254901960785</v>
      </c>
      <c r="S72" s="47">
        <f t="shared" si="67"/>
        <v>140.91503267973857</v>
      </c>
      <c r="T72" s="14">
        <f t="shared" si="68"/>
        <v>317.05882352941177</v>
      </c>
      <c r="U72" s="52">
        <f t="shared" si="69"/>
        <v>1655.7516339869283</v>
      </c>
      <c r="V72" s="52">
        <f t="shared" si="70"/>
        <v>4684.4074240875</v>
      </c>
      <c r="W72" s="109">
        <f t="shared" si="71"/>
        <v>5390</v>
      </c>
      <c r="X72" s="103">
        <f>$D$12*2</f>
        <v>510</v>
      </c>
      <c r="Y72" s="103">
        <f>$I$12*2</f>
        <v>0</v>
      </c>
      <c r="Z72" s="124">
        <f>$D$14*2</f>
        <v>100</v>
      </c>
      <c r="AA72" s="110">
        <f t="shared" si="72"/>
        <v>6000</v>
      </c>
    </row>
    <row r="73" spans="1:27" ht="12.75">
      <c r="A73" s="16">
        <v>516</v>
      </c>
      <c r="B73" s="3" t="s">
        <v>71</v>
      </c>
      <c r="C73" s="39">
        <v>1145</v>
      </c>
      <c r="D73" s="39">
        <v>285</v>
      </c>
      <c r="E73" s="39">
        <v>72</v>
      </c>
      <c r="F73" s="11">
        <f t="shared" si="60"/>
        <v>1782.65279</v>
      </c>
      <c r="G73" s="11">
        <f t="shared" si="61"/>
        <v>443.71707</v>
      </c>
      <c r="H73" s="11">
        <f t="shared" si="61"/>
        <v>112.09694400000001</v>
      </c>
      <c r="I73" s="37">
        <f t="shared" si="62"/>
        <v>2338.466804</v>
      </c>
      <c r="J73" s="47">
        <f t="shared" si="63"/>
        <v>233.84668040000003</v>
      </c>
      <c r="K73" s="11">
        <f aca="true" t="shared" si="73" ref="K73:K87">$D$10</f>
        <v>640</v>
      </c>
      <c r="L73" s="11">
        <v>242.39</v>
      </c>
      <c r="M73" s="47">
        <f aca="true" t="shared" si="74" ref="M73:M95">($I73+K73)*0.15</f>
        <v>446.7700206</v>
      </c>
      <c r="N73" s="14">
        <f aca="true" t="shared" si="75" ref="N73:N87">IF((I73+J73+K73+L73+M73)-((I73+J73+K73+L73+M73)*0.235)&lt;$D$11,($D$11-((I73+J73+K73+L73+M73)-((I73+J73+K73+L73+M73)*0.235)))/0.765,0)</f>
        <v>0</v>
      </c>
      <c r="O73" s="228">
        <f t="shared" si="64"/>
        <v>3901.473505</v>
      </c>
      <c r="P73" s="52">
        <f t="shared" si="65"/>
        <v>429.16208555</v>
      </c>
      <c r="Q73" s="47">
        <f t="shared" si="66"/>
        <v>117.04420515</v>
      </c>
      <c r="R73" s="47">
        <f t="shared" si="66"/>
        <v>117.04420515</v>
      </c>
      <c r="S73" s="47">
        <f t="shared" si="67"/>
        <v>78.0294701</v>
      </c>
      <c r="T73" s="14">
        <f t="shared" si="68"/>
        <v>175.566307725</v>
      </c>
      <c r="U73" s="52">
        <f t="shared" si="69"/>
        <v>916.846273675</v>
      </c>
      <c r="V73" s="52">
        <f t="shared" si="70"/>
        <v>2984.627231325</v>
      </c>
      <c r="W73" s="109">
        <f t="shared" si="71"/>
        <v>2984.627231325</v>
      </c>
      <c r="X73" s="103">
        <f aca="true" t="shared" si="76" ref="X73:X87">$D$12</f>
        <v>255</v>
      </c>
      <c r="Y73" s="103">
        <f aca="true" t="shared" si="77" ref="Y73:Y87">$I$12</f>
        <v>0</v>
      </c>
      <c r="Z73" s="122">
        <f aca="true" t="shared" si="78" ref="Z73:Z87">$D$14</f>
        <v>50</v>
      </c>
      <c r="AA73" s="227">
        <f t="shared" si="72"/>
        <v>3289.627231325</v>
      </c>
    </row>
    <row r="74" spans="1:27" ht="12.75">
      <c r="A74" s="16">
        <v>576</v>
      </c>
      <c r="B74" s="3" t="s">
        <v>72</v>
      </c>
      <c r="C74" s="39">
        <v>996</v>
      </c>
      <c r="D74" s="39">
        <v>259</v>
      </c>
      <c r="E74" s="39">
        <v>63</v>
      </c>
      <c r="F74" s="11">
        <f t="shared" si="60"/>
        <v>1550.674392</v>
      </c>
      <c r="G74" s="11">
        <f t="shared" si="61"/>
        <v>403.237618</v>
      </c>
      <c r="H74" s="11">
        <f t="shared" si="61"/>
        <v>98.084826</v>
      </c>
      <c r="I74" s="37">
        <f t="shared" si="62"/>
        <v>2051.996836</v>
      </c>
      <c r="J74" s="47">
        <f t="shared" si="63"/>
        <v>205.1996836</v>
      </c>
      <c r="K74" s="11">
        <f t="shared" si="73"/>
        <v>640</v>
      </c>
      <c r="L74" s="11">
        <v>155.82</v>
      </c>
      <c r="M74" s="47">
        <f t="shared" si="74"/>
        <v>403.79952539999994</v>
      </c>
      <c r="N74" s="14">
        <f t="shared" si="75"/>
        <v>66.05977199346466</v>
      </c>
      <c r="O74" s="14">
        <f t="shared" si="64"/>
        <v>3522.8758169934645</v>
      </c>
      <c r="P74" s="52">
        <f t="shared" si="65"/>
        <v>387.51633986928107</v>
      </c>
      <c r="Q74" s="47">
        <f t="shared" si="66"/>
        <v>105.68627450980394</v>
      </c>
      <c r="R74" s="47">
        <f t="shared" si="66"/>
        <v>105.68627450980394</v>
      </c>
      <c r="S74" s="47">
        <f t="shared" si="67"/>
        <v>70.45751633986929</v>
      </c>
      <c r="T74" s="14">
        <f t="shared" si="68"/>
        <v>158.52941176470588</v>
      </c>
      <c r="U74" s="52">
        <f t="shared" si="69"/>
        <v>827.8758169934641</v>
      </c>
      <c r="V74" s="52">
        <f t="shared" si="70"/>
        <v>2644.4642744249995</v>
      </c>
      <c r="W74" s="109">
        <f t="shared" si="71"/>
        <v>2695.0000000000005</v>
      </c>
      <c r="X74" s="103">
        <f t="shared" si="76"/>
        <v>255</v>
      </c>
      <c r="Y74" s="103">
        <f t="shared" si="77"/>
        <v>0</v>
      </c>
      <c r="Z74" s="122">
        <f t="shared" si="78"/>
        <v>50</v>
      </c>
      <c r="AA74" s="110">
        <f t="shared" si="72"/>
        <v>3000.0000000000005</v>
      </c>
    </row>
    <row r="75" spans="1:27" ht="12.75">
      <c r="A75" s="16">
        <v>539</v>
      </c>
      <c r="B75" s="3" t="s">
        <v>91</v>
      </c>
      <c r="C75" s="39">
        <v>753</v>
      </c>
      <c r="D75" s="39">
        <v>187</v>
      </c>
      <c r="E75" s="39">
        <v>50</v>
      </c>
      <c r="F75" s="11">
        <f t="shared" si="60"/>
        <v>1172.347206</v>
      </c>
      <c r="G75" s="11">
        <f t="shared" si="61"/>
        <v>291.140674</v>
      </c>
      <c r="H75" s="11">
        <f t="shared" si="61"/>
        <v>77.8451</v>
      </c>
      <c r="I75" s="37">
        <f t="shared" si="62"/>
        <v>1541.33298</v>
      </c>
      <c r="J75" s="47">
        <f t="shared" si="63"/>
        <v>154.133298</v>
      </c>
      <c r="K75" s="11">
        <f t="shared" si="73"/>
        <v>640</v>
      </c>
      <c r="L75" s="11"/>
      <c r="M75" s="47">
        <f t="shared" si="74"/>
        <v>327.199947</v>
      </c>
      <c r="N75" s="14">
        <f t="shared" si="75"/>
        <v>860.209591993464</v>
      </c>
      <c r="O75" s="14">
        <f t="shared" si="64"/>
        <v>3522.875816993464</v>
      </c>
      <c r="P75" s="52">
        <f t="shared" si="65"/>
        <v>387.51633986928107</v>
      </c>
      <c r="Q75" s="47">
        <f t="shared" si="66"/>
        <v>105.68627450980392</v>
      </c>
      <c r="R75" s="47">
        <f t="shared" si="66"/>
        <v>105.68627450980392</v>
      </c>
      <c r="S75" s="47">
        <f t="shared" si="67"/>
        <v>70.45751633986929</v>
      </c>
      <c r="T75" s="14">
        <f t="shared" si="68"/>
        <v>158.52941176470588</v>
      </c>
      <c r="U75" s="52">
        <f t="shared" si="69"/>
        <v>827.8758169934641</v>
      </c>
      <c r="V75" s="52">
        <f t="shared" si="70"/>
        <v>2036.939662125</v>
      </c>
      <c r="W75" s="109">
        <f t="shared" si="71"/>
        <v>2695</v>
      </c>
      <c r="X75" s="103">
        <f t="shared" si="76"/>
        <v>255</v>
      </c>
      <c r="Y75" s="103">
        <f t="shared" si="77"/>
        <v>0</v>
      </c>
      <c r="Z75" s="122">
        <f t="shared" si="78"/>
        <v>50</v>
      </c>
      <c r="AA75" s="110">
        <f t="shared" si="72"/>
        <v>3000</v>
      </c>
    </row>
    <row r="76" spans="1:27" ht="12.75">
      <c r="A76" s="16">
        <v>558</v>
      </c>
      <c r="B76" s="3" t="s">
        <v>8</v>
      </c>
      <c r="C76" s="39">
        <v>866</v>
      </c>
      <c r="D76" s="39">
        <v>214</v>
      </c>
      <c r="E76" s="39">
        <v>54</v>
      </c>
      <c r="F76" s="11">
        <f t="shared" si="60"/>
        <v>1348.277132</v>
      </c>
      <c r="G76" s="11">
        <f t="shared" si="61"/>
        <v>333.177028</v>
      </c>
      <c r="H76" s="11">
        <f t="shared" si="61"/>
        <v>84.072708</v>
      </c>
      <c r="I76" s="37">
        <f t="shared" si="62"/>
        <v>1765.526868</v>
      </c>
      <c r="J76" s="47">
        <f t="shared" si="63"/>
        <v>176.5526868</v>
      </c>
      <c r="K76" s="11">
        <f t="shared" si="73"/>
        <v>640</v>
      </c>
      <c r="L76" s="11">
        <v>69.26</v>
      </c>
      <c r="M76" s="47">
        <f t="shared" si="74"/>
        <v>360.8290302</v>
      </c>
      <c r="N76" s="14">
        <f t="shared" si="75"/>
        <v>510.70723199346423</v>
      </c>
      <c r="O76" s="14">
        <f t="shared" si="64"/>
        <v>3522.875816993464</v>
      </c>
      <c r="P76" s="52">
        <f t="shared" si="65"/>
        <v>387.51633986928107</v>
      </c>
      <c r="Q76" s="47">
        <f t="shared" si="66"/>
        <v>105.68627450980392</v>
      </c>
      <c r="R76" s="47">
        <f t="shared" si="66"/>
        <v>105.68627450980392</v>
      </c>
      <c r="S76" s="47">
        <f t="shared" si="67"/>
        <v>70.45751633986929</v>
      </c>
      <c r="T76" s="14">
        <f t="shared" si="68"/>
        <v>158.52941176470588</v>
      </c>
      <c r="U76" s="52">
        <f t="shared" si="69"/>
        <v>827.8758169934641</v>
      </c>
      <c r="V76" s="52">
        <f t="shared" si="70"/>
        <v>2304.308967525</v>
      </c>
      <c r="W76" s="109">
        <f t="shared" si="71"/>
        <v>2695</v>
      </c>
      <c r="X76" s="103">
        <f t="shared" si="76"/>
        <v>255</v>
      </c>
      <c r="Y76" s="103">
        <f t="shared" si="77"/>
        <v>0</v>
      </c>
      <c r="Z76" s="122">
        <f t="shared" si="78"/>
        <v>50</v>
      </c>
      <c r="AA76" s="110">
        <f t="shared" si="72"/>
        <v>3000</v>
      </c>
    </row>
    <row r="77" spans="1:27" ht="12.75">
      <c r="A77" s="16">
        <v>540</v>
      </c>
      <c r="B77" s="3" t="s">
        <v>20</v>
      </c>
      <c r="C77" s="39">
        <v>753</v>
      </c>
      <c r="D77" s="39">
        <v>187</v>
      </c>
      <c r="E77" s="39">
        <v>50</v>
      </c>
      <c r="F77" s="11">
        <f t="shared" si="60"/>
        <v>1172.347206</v>
      </c>
      <c r="G77" s="11">
        <f t="shared" si="61"/>
        <v>291.140674</v>
      </c>
      <c r="H77" s="11">
        <f t="shared" si="61"/>
        <v>77.8451</v>
      </c>
      <c r="I77" s="37">
        <f t="shared" si="62"/>
        <v>1541.33298</v>
      </c>
      <c r="J77" s="47">
        <f t="shared" si="63"/>
        <v>154.133298</v>
      </c>
      <c r="K77" s="11">
        <f t="shared" si="73"/>
        <v>640</v>
      </c>
      <c r="L77" s="11"/>
      <c r="M77" s="47">
        <f t="shared" si="74"/>
        <v>327.199947</v>
      </c>
      <c r="N77" s="14">
        <f t="shared" si="75"/>
        <v>860.209591993464</v>
      </c>
      <c r="O77" s="14">
        <f t="shared" si="64"/>
        <v>3522.875816993464</v>
      </c>
      <c r="P77" s="52">
        <f t="shared" si="65"/>
        <v>387.51633986928107</v>
      </c>
      <c r="Q77" s="47">
        <f t="shared" si="66"/>
        <v>105.68627450980392</v>
      </c>
      <c r="R77" s="47">
        <f t="shared" si="66"/>
        <v>105.68627450980392</v>
      </c>
      <c r="S77" s="47">
        <f t="shared" si="67"/>
        <v>70.45751633986929</v>
      </c>
      <c r="T77" s="14">
        <f t="shared" si="68"/>
        <v>158.52941176470588</v>
      </c>
      <c r="U77" s="52">
        <f t="shared" si="69"/>
        <v>827.8758169934641</v>
      </c>
      <c r="V77" s="52">
        <f aca="true" t="shared" si="79" ref="V77:V95">(I77+J77+K77+M77)-((I77+J77+K77+M77)*0.235)</f>
        <v>2036.939662125</v>
      </c>
      <c r="W77" s="109">
        <f t="shared" si="71"/>
        <v>2695</v>
      </c>
      <c r="X77" s="103">
        <f t="shared" si="76"/>
        <v>255</v>
      </c>
      <c r="Y77" s="103">
        <f t="shared" si="77"/>
        <v>0</v>
      </c>
      <c r="Z77" s="122">
        <f t="shared" si="78"/>
        <v>50</v>
      </c>
      <c r="AA77" s="110">
        <f t="shared" si="72"/>
        <v>3000</v>
      </c>
    </row>
    <row r="78" spans="1:27" ht="12.75">
      <c r="A78" s="16">
        <v>541</v>
      </c>
      <c r="B78" s="3" t="s">
        <v>21</v>
      </c>
      <c r="C78" s="39">
        <v>753</v>
      </c>
      <c r="D78" s="39">
        <v>187</v>
      </c>
      <c r="E78" s="39">
        <v>50</v>
      </c>
      <c r="F78" s="11">
        <f t="shared" si="60"/>
        <v>1172.347206</v>
      </c>
      <c r="G78" s="11">
        <f t="shared" si="61"/>
        <v>291.140674</v>
      </c>
      <c r="H78" s="11">
        <f t="shared" si="61"/>
        <v>77.8451</v>
      </c>
      <c r="I78" s="37">
        <f t="shared" si="62"/>
        <v>1541.33298</v>
      </c>
      <c r="J78" s="47">
        <f t="shared" si="63"/>
        <v>154.133298</v>
      </c>
      <c r="K78" s="11">
        <f t="shared" si="73"/>
        <v>640</v>
      </c>
      <c r="L78" s="11"/>
      <c r="M78" s="47">
        <f t="shared" si="74"/>
        <v>327.199947</v>
      </c>
      <c r="N78" s="14">
        <f t="shared" si="75"/>
        <v>860.209591993464</v>
      </c>
      <c r="O78" s="14">
        <f t="shared" si="64"/>
        <v>3522.875816993464</v>
      </c>
      <c r="P78" s="52">
        <f t="shared" si="65"/>
        <v>387.51633986928107</v>
      </c>
      <c r="Q78" s="47">
        <f t="shared" si="66"/>
        <v>105.68627450980392</v>
      </c>
      <c r="R78" s="47">
        <f t="shared" si="66"/>
        <v>105.68627450980392</v>
      </c>
      <c r="S78" s="47">
        <f t="shared" si="67"/>
        <v>70.45751633986929</v>
      </c>
      <c r="T78" s="14">
        <f t="shared" si="68"/>
        <v>158.52941176470588</v>
      </c>
      <c r="U78" s="52">
        <f t="shared" si="69"/>
        <v>827.8758169934641</v>
      </c>
      <c r="V78" s="52">
        <f t="shared" si="79"/>
        <v>2036.939662125</v>
      </c>
      <c r="W78" s="109">
        <f t="shared" si="71"/>
        <v>2695</v>
      </c>
      <c r="X78" s="103">
        <f t="shared" si="76"/>
        <v>255</v>
      </c>
      <c r="Y78" s="103">
        <f t="shared" si="77"/>
        <v>0</v>
      </c>
      <c r="Z78" s="122">
        <f t="shared" si="78"/>
        <v>50</v>
      </c>
      <c r="AA78" s="110">
        <f t="shared" si="72"/>
        <v>3000</v>
      </c>
    </row>
    <row r="79" spans="1:27" ht="12.75">
      <c r="A79" s="16">
        <v>850</v>
      </c>
      <c r="B79" s="3" t="s">
        <v>22</v>
      </c>
      <c r="C79" s="39">
        <v>753</v>
      </c>
      <c r="D79" s="39">
        <v>187</v>
      </c>
      <c r="E79" s="39">
        <v>50</v>
      </c>
      <c r="F79" s="11">
        <f t="shared" si="60"/>
        <v>1172.347206</v>
      </c>
      <c r="G79" s="11">
        <f t="shared" si="61"/>
        <v>291.140674</v>
      </c>
      <c r="H79" s="11">
        <f t="shared" si="61"/>
        <v>77.8451</v>
      </c>
      <c r="I79" s="37">
        <f t="shared" si="62"/>
        <v>1541.33298</v>
      </c>
      <c r="J79" s="47">
        <f t="shared" si="63"/>
        <v>154.133298</v>
      </c>
      <c r="K79" s="11">
        <f t="shared" si="73"/>
        <v>640</v>
      </c>
      <c r="L79" s="11"/>
      <c r="M79" s="47">
        <f t="shared" si="74"/>
        <v>327.199947</v>
      </c>
      <c r="N79" s="14">
        <f t="shared" si="75"/>
        <v>860.209591993464</v>
      </c>
      <c r="O79" s="14">
        <f t="shared" si="64"/>
        <v>3522.875816993464</v>
      </c>
      <c r="P79" s="52">
        <f t="shared" si="65"/>
        <v>387.51633986928107</v>
      </c>
      <c r="Q79" s="47">
        <f t="shared" si="66"/>
        <v>105.68627450980392</v>
      </c>
      <c r="R79" s="47">
        <f t="shared" si="66"/>
        <v>105.68627450980392</v>
      </c>
      <c r="S79" s="47">
        <f t="shared" si="67"/>
        <v>70.45751633986929</v>
      </c>
      <c r="T79" s="14">
        <f t="shared" si="68"/>
        <v>158.52941176470588</v>
      </c>
      <c r="U79" s="52">
        <f t="shared" si="69"/>
        <v>827.8758169934641</v>
      </c>
      <c r="V79" s="52">
        <f t="shared" si="79"/>
        <v>2036.939662125</v>
      </c>
      <c r="W79" s="109">
        <f t="shared" si="71"/>
        <v>2695</v>
      </c>
      <c r="X79" s="103">
        <f t="shared" si="76"/>
        <v>255</v>
      </c>
      <c r="Y79" s="103">
        <f t="shared" si="77"/>
        <v>0</v>
      </c>
      <c r="Z79" s="122">
        <f t="shared" si="78"/>
        <v>50</v>
      </c>
      <c r="AA79" s="110">
        <f t="shared" si="72"/>
        <v>3000</v>
      </c>
    </row>
    <row r="80" spans="1:27" ht="12.75">
      <c r="A80" s="16">
        <v>852</v>
      </c>
      <c r="B80" s="3" t="s">
        <v>129</v>
      </c>
      <c r="C80" s="39">
        <v>753</v>
      </c>
      <c r="D80" s="39">
        <v>187</v>
      </c>
      <c r="E80" s="39">
        <v>0</v>
      </c>
      <c r="F80" s="11">
        <f t="shared" si="60"/>
        <v>1172.347206</v>
      </c>
      <c r="G80" s="11">
        <f t="shared" si="61"/>
        <v>291.140674</v>
      </c>
      <c r="H80" s="11">
        <f t="shared" si="61"/>
        <v>0</v>
      </c>
      <c r="I80" s="37">
        <f t="shared" si="62"/>
        <v>1463.48788</v>
      </c>
      <c r="J80" s="47">
        <f t="shared" si="63"/>
        <v>146.34878799999998</v>
      </c>
      <c r="K80" s="11">
        <f t="shared" si="73"/>
        <v>640</v>
      </c>
      <c r="L80" s="11"/>
      <c r="M80" s="47">
        <f t="shared" si="74"/>
        <v>315.52318199999996</v>
      </c>
      <c r="N80" s="14">
        <f t="shared" si="75"/>
        <v>957.5159669934641</v>
      </c>
      <c r="O80" s="14">
        <f>SUM(I80:N80)</f>
        <v>3522.875816993464</v>
      </c>
      <c r="P80" s="52">
        <f t="shared" si="65"/>
        <v>387.51633986928107</v>
      </c>
      <c r="Q80" s="47">
        <f t="shared" si="66"/>
        <v>105.68627450980392</v>
      </c>
      <c r="R80" s="47">
        <f t="shared" si="66"/>
        <v>105.68627450980392</v>
      </c>
      <c r="S80" s="47">
        <f t="shared" si="67"/>
        <v>70.45751633986929</v>
      </c>
      <c r="T80" s="14">
        <f t="shared" si="68"/>
        <v>158.52941176470588</v>
      </c>
      <c r="U80" s="52">
        <f>SUM(Q80:T80)+P80</f>
        <v>827.8758169934641</v>
      </c>
      <c r="V80" s="52">
        <f>(I80+J80+K80+M80)-((I80+J80+K80+M80)*0.235)</f>
        <v>1962.50028525</v>
      </c>
      <c r="W80" s="109">
        <f>O80-U80</f>
        <v>2695</v>
      </c>
      <c r="X80" s="103">
        <f t="shared" si="76"/>
        <v>255</v>
      </c>
      <c r="Y80" s="103">
        <f t="shared" si="77"/>
        <v>0</v>
      </c>
      <c r="Z80" s="122">
        <f t="shared" si="78"/>
        <v>50</v>
      </c>
      <c r="AA80" s="110">
        <f t="shared" si="72"/>
        <v>3000</v>
      </c>
    </row>
    <row r="81" spans="1:27" ht="12.75">
      <c r="A81" s="16">
        <v>546</v>
      </c>
      <c r="B81" s="3" t="s">
        <v>23</v>
      </c>
      <c r="C81" s="39">
        <v>753</v>
      </c>
      <c r="D81" s="39">
        <v>187</v>
      </c>
      <c r="E81" s="39">
        <v>50</v>
      </c>
      <c r="F81" s="11">
        <f t="shared" si="60"/>
        <v>1172.347206</v>
      </c>
      <c r="G81" s="11">
        <f t="shared" si="61"/>
        <v>291.140674</v>
      </c>
      <c r="H81" s="11">
        <f t="shared" si="61"/>
        <v>77.8451</v>
      </c>
      <c r="I81" s="37">
        <f t="shared" si="62"/>
        <v>1541.33298</v>
      </c>
      <c r="J81" s="47">
        <f t="shared" si="63"/>
        <v>154.133298</v>
      </c>
      <c r="K81" s="11">
        <f t="shared" si="73"/>
        <v>640</v>
      </c>
      <c r="L81" s="11"/>
      <c r="M81" s="47">
        <f t="shared" si="74"/>
        <v>327.199947</v>
      </c>
      <c r="N81" s="14">
        <f t="shared" si="75"/>
        <v>860.209591993464</v>
      </c>
      <c r="O81" s="14">
        <f t="shared" si="64"/>
        <v>3522.875816993464</v>
      </c>
      <c r="P81" s="52">
        <f t="shared" si="65"/>
        <v>387.51633986928107</v>
      </c>
      <c r="Q81" s="47">
        <f t="shared" si="66"/>
        <v>105.68627450980392</v>
      </c>
      <c r="R81" s="47">
        <f t="shared" si="66"/>
        <v>105.68627450980392</v>
      </c>
      <c r="S81" s="47">
        <f t="shared" si="67"/>
        <v>70.45751633986929</v>
      </c>
      <c r="T81" s="14">
        <f t="shared" si="68"/>
        <v>158.52941176470588</v>
      </c>
      <c r="U81" s="52">
        <f t="shared" si="69"/>
        <v>827.8758169934641</v>
      </c>
      <c r="V81" s="52">
        <f t="shared" si="79"/>
        <v>2036.939662125</v>
      </c>
      <c r="W81" s="109">
        <f t="shared" si="71"/>
        <v>2695</v>
      </c>
      <c r="X81" s="103">
        <f t="shared" si="76"/>
        <v>255</v>
      </c>
      <c r="Y81" s="103">
        <f t="shared" si="77"/>
        <v>0</v>
      </c>
      <c r="Z81" s="122">
        <f t="shared" si="78"/>
        <v>50</v>
      </c>
      <c r="AA81" s="110">
        <f t="shared" si="72"/>
        <v>3000</v>
      </c>
    </row>
    <row r="82" spans="1:27" ht="12.75">
      <c r="A82" s="16">
        <v>571</v>
      </c>
      <c r="B82" s="3" t="s">
        <v>130</v>
      </c>
      <c r="C82" s="39">
        <v>753</v>
      </c>
      <c r="D82" s="39">
        <v>187</v>
      </c>
      <c r="E82" s="39">
        <v>50</v>
      </c>
      <c r="F82" s="11">
        <f t="shared" si="60"/>
        <v>1172.347206</v>
      </c>
      <c r="G82" s="11">
        <f t="shared" si="61"/>
        <v>291.140674</v>
      </c>
      <c r="H82" s="11">
        <f t="shared" si="61"/>
        <v>77.8451</v>
      </c>
      <c r="I82" s="37">
        <f t="shared" si="62"/>
        <v>1541.33298</v>
      </c>
      <c r="J82" s="47">
        <f t="shared" si="63"/>
        <v>154.133298</v>
      </c>
      <c r="K82" s="11">
        <f t="shared" si="73"/>
        <v>640</v>
      </c>
      <c r="L82" s="11"/>
      <c r="M82" s="47">
        <f t="shared" si="74"/>
        <v>327.199947</v>
      </c>
      <c r="N82" s="14">
        <f t="shared" si="75"/>
        <v>860.209591993464</v>
      </c>
      <c r="O82" s="14">
        <f>SUM(I82:N82)</f>
        <v>3522.875816993464</v>
      </c>
      <c r="P82" s="52">
        <f t="shared" si="65"/>
        <v>387.51633986928107</v>
      </c>
      <c r="Q82" s="47">
        <f t="shared" si="66"/>
        <v>105.68627450980392</v>
      </c>
      <c r="R82" s="47">
        <f t="shared" si="66"/>
        <v>105.68627450980392</v>
      </c>
      <c r="S82" s="47">
        <f t="shared" si="67"/>
        <v>70.45751633986929</v>
      </c>
      <c r="T82" s="14">
        <f t="shared" si="68"/>
        <v>158.52941176470588</v>
      </c>
      <c r="U82" s="52">
        <f>SUM(Q82:T82)+P82</f>
        <v>827.8758169934641</v>
      </c>
      <c r="V82" s="52">
        <f>(I82+J82+K82+M82)-((I82+J82+K82+M82)*0.235)</f>
        <v>2036.939662125</v>
      </c>
      <c r="W82" s="109">
        <f>O82-U82</f>
        <v>2695</v>
      </c>
      <c r="X82" s="103">
        <f t="shared" si="76"/>
        <v>255</v>
      </c>
      <c r="Y82" s="103">
        <f t="shared" si="77"/>
        <v>0</v>
      </c>
      <c r="Z82" s="122">
        <f t="shared" si="78"/>
        <v>50</v>
      </c>
      <c r="AA82" s="110">
        <f t="shared" si="72"/>
        <v>3000</v>
      </c>
    </row>
    <row r="83" spans="1:27" ht="12.75">
      <c r="A83" s="16">
        <v>582</v>
      </c>
      <c r="B83" s="3" t="s">
        <v>128</v>
      </c>
      <c r="C83" s="39">
        <v>704</v>
      </c>
      <c r="D83" s="39">
        <v>166</v>
      </c>
      <c r="E83" s="39">
        <v>44</v>
      </c>
      <c r="F83" s="11">
        <f t="shared" si="60"/>
        <v>1096.059008</v>
      </c>
      <c r="G83" s="11">
        <f t="shared" si="61"/>
        <v>258.445732</v>
      </c>
      <c r="H83" s="11">
        <f t="shared" si="61"/>
        <v>68.503688</v>
      </c>
      <c r="I83" s="37">
        <f t="shared" si="62"/>
        <v>1423.0084279999999</v>
      </c>
      <c r="J83" s="47">
        <f t="shared" si="63"/>
        <v>142.3008428</v>
      </c>
      <c r="K83" s="11">
        <f t="shared" si="73"/>
        <v>640</v>
      </c>
      <c r="L83" s="11"/>
      <c r="M83" s="47">
        <f t="shared" si="74"/>
        <v>309.4512642</v>
      </c>
      <c r="N83" s="14">
        <f t="shared" si="75"/>
        <v>1008.1152819934639</v>
      </c>
      <c r="O83" s="14">
        <f t="shared" si="64"/>
        <v>3522.8758169934636</v>
      </c>
      <c r="P83" s="52">
        <f t="shared" si="65"/>
        <v>387.516339869281</v>
      </c>
      <c r="Q83" s="47">
        <f t="shared" si="66"/>
        <v>105.68627450980391</v>
      </c>
      <c r="R83" s="47">
        <f t="shared" si="66"/>
        <v>105.68627450980391</v>
      </c>
      <c r="S83" s="47">
        <f t="shared" si="67"/>
        <v>70.45751633986927</v>
      </c>
      <c r="T83" s="14">
        <f t="shared" si="68"/>
        <v>158.52941176470586</v>
      </c>
      <c r="U83" s="52">
        <f t="shared" si="69"/>
        <v>827.875816993464</v>
      </c>
      <c r="V83" s="52">
        <f t="shared" si="79"/>
        <v>1923.791809275</v>
      </c>
      <c r="W83" s="109">
        <f t="shared" si="71"/>
        <v>2694.9999999999995</v>
      </c>
      <c r="X83" s="103">
        <f t="shared" si="76"/>
        <v>255</v>
      </c>
      <c r="Y83" s="103">
        <f t="shared" si="77"/>
        <v>0</v>
      </c>
      <c r="Z83" s="122">
        <f t="shared" si="78"/>
        <v>50</v>
      </c>
      <c r="AA83" s="110">
        <f t="shared" si="72"/>
        <v>2999.9999999999995</v>
      </c>
    </row>
    <row r="84" spans="1:27" ht="12.75">
      <c r="A84" s="16">
        <v>583</v>
      </c>
      <c r="B84" s="3" t="s">
        <v>127</v>
      </c>
      <c r="C84" s="39">
        <v>704</v>
      </c>
      <c r="D84" s="39">
        <v>166</v>
      </c>
      <c r="E84" s="39"/>
      <c r="F84" s="11">
        <f t="shared" si="60"/>
        <v>1096.059008</v>
      </c>
      <c r="G84" s="11">
        <f t="shared" si="61"/>
        <v>258.445732</v>
      </c>
      <c r="H84" s="11">
        <f t="shared" si="61"/>
        <v>0</v>
      </c>
      <c r="I84" s="37">
        <f t="shared" si="62"/>
        <v>1354.5047399999999</v>
      </c>
      <c r="J84" s="47">
        <f t="shared" si="63"/>
        <v>135.45047399999999</v>
      </c>
      <c r="K84" s="11">
        <f t="shared" si="73"/>
        <v>640</v>
      </c>
      <c r="L84" s="11"/>
      <c r="M84" s="47">
        <f t="shared" si="74"/>
        <v>299.175711</v>
      </c>
      <c r="N84" s="14">
        <f t="shared" si="75"/>
        <v>1093.7448919934645</v>
      </c>
      <c r="O84" s="14">
        <f>SUM(I84:N84)</f>
        <v>3522.875816993464</v>
      </c>
      <c r="P84" s="52">
        <f t="shared" si="65"/>
        <v>387.51633986928107</v>
      </c>
      <c r="Q84" s="47">
        <f t="shared" si="66"/>
        <v>105.68627450980392</v>
      </c>
      <c r="R84" s="47">
        <f t="shared" si="66"/>
        <v>105.68627450980392</v>
      </c>
      <c r="S84" s="47">
        <f t="shared" si="67"/>
        <v>70.45751633986929</v>
      </c>
      <c r="T84" s="14">
        <f t="shared" si="68"/>
        <v>158.52941176470588</v>
      </c>
      <c r="U84" s="52">
        <f>SUM(Q84:T84)+P84</f>
        <v>827.8758169934641</v>
      </c>
      <c r="V84" s="52">
        <f>(I84+J84+K84+M84)-((I84+J84+K84+M84)*0.235)</f>
        <v>1858.2851576249996</v>
      </c>
      <c r="W84" s="109">
        <f>O84-U84</f>
        <v>2695</v>
      </c>
      <c r="X84" s="103">
        <f t="shared" si="76"/>
        <v>255</v>
      </c>
      <c r="Y84" s="103">
        <f t="shared" si="77"/>
        <v>0</v>
      </c>
      <c r="Z84" s="122">
        <f t="shared" si="78"/>
        <v>50</v>
      </c>
      <c r="AA84" s="110">
        <f t="shared" si="72"/>
        <v>3000</v>
      </c>
    </row>
    <row r="85" spans="1:27" ht="12.75">
      <c r="A85" s="16">
        <v>554</v>
      </c>
      <c r="B85" s="3" t="s">
        <v>25</v>
      </c>
      <c r="C85" s="39">
        <v>658</v>
      </c>
      <c r="D85" s="39">
        <v>62</v>
      </c>
      <c r="E85" s="39"/>
      <c r="F85" s="11">
        <f t="shared" si="60"/>
        <v>1024.441516</v>
      </c>
      <c r="G85" s="11">
        <f t="shared" si="61"/>
        <v>96.527924</v>
      </c>
      <c r="H85" s="11">
        <f t="shared" si="61"/>
        <v>0</v>
      </c>
      <c r="I85" s="37">
        <f t="shared" si="62"/>
        <v>1120.96944</v>
      </c>
      <c r="J85" s="47">
        <f t="shared" si="63"/>
        <v>112.09694400000001</v>
      </c>
      <c r="K85" s="11">
        <f t="shared" si="73"/>
        <v>640</v>
      </c>
      <c r="L85" s="11"/>
      <c r="M85" s="47">
        <f t="shared" si="74"/>
        <v>264.145416</v>
      </c>
      <c r="N85" s="14">
        <f t="shared" si="75"/>
        <v>1385.6640169934637</v>
      </c>
      <c r="O85" s="14">
        <f t="shared" si="64"/>
        <v>3522.8758169934636</v>
      </c>
      <c r="P85" s="52">
        <f t="shared" si="65"/>
        <v>387.516339869281</v>
      </c>
      <c r="Q85" s="47">
        <f t="shared" si="66"/>
        <v>105.68627450980391</v>
      </c>
      <c r="R85" s="47">
        <f t="shared" si="66"/>
        <v>105.68627450980391</v>
      </c>
      <c r="S85" s="47">
        <f t="shared" si="67"/>
        <v>70.45751633986927</v>
      </c>
      <c r="T85" s="14">
        <f t="shared" si="68"/>
        <v>158.52941176470586</v>
      </c>
      <c r="U85" s="52">
        <f t="shared" si="69"/>
        <v>827.875816993464</v>
      </c>
      <c r="V85" s="52">
        <f t="shared" si="79"/>
        <v>1634.9670270000001</v>
      </c>
      <c r="W85" s="109">
        <f t="shared" si="71"/>
        <v>2694.9999999999995</v>
      </c>
      <c r="X85" s="103">
        <f t="shared" si="76"/>
        <v>255</v>
      </c>
      <c r="Y85" s="103">
        <f t="shared" si="77"/>
        <v>0</v>
      </c>
      <c r="Z85" s="122">
        <f t="shared" si="78"/>
        <v>50</v>
      </c>
      <c r="AA85" s="110">
        <f t="shared" si="72"/>
        <v>2999.9999999999995</v>
      </c>
    </row>
    <row r="86" spans="1:27" ht="12.75">
      <c r="A86" s="16">
        <v>536</v>
      </c>
      <c r="B86" s="3" t="s">
        <v>31</v>
      </c>
      <c r="C86" s="39">
        <v>753</v>
      </c>
      <c r="D86" s="39">
        <v>187</v>
      </c>
      <c r="E86" s="39">
        <v>50</v>
      </c>
      <c r="F86" s="11">
        <f t="shared" si="60"/>
        <v>1172.347206</v>
      </c>
      <c r="G86" s="11">
        <f t="shared" si="61"/>
        <v>291.140674</v>
      </c>
      <c r="H86" s="11">
        <f t="shared" si="61"/>
        <v>77.8451</v>
      </c>
      <c r="I86" s="37">
        <f t="shared" si="62"/>
        <v>1541.33298</v>
      </c>
      <c r="J86" s="47">
        <f t="shared" si="63"/>
        <v>154.133298</v>
      </c>
      <c r="K86" s="11">
        <f t="shared" si="73"/>
        <v>640</v>
      </c>
      <c r="L86" s="11"/>
      <c r="M86" s="47">
        <f t="shared" si="74"/>
        <v>327.199947</v>
      </c>
      <c r="N86" s="14">
        <f t="shared" si="75"/>
        <v>860.209591993464</v>
      </c>
      <c r="O86" s="14">
        <f t="shared" si="64"/>
        <v>3522.875816993464</v>
      </c>
      <c r="P86" s="52">
        <f t="shared" si="65"/>
        <v>387.51633986928107</v>
      </c>
      <c r="Q86" s="47">
        <f t="shared" si="66"/>
        <v>105.68627450980392</v>
      </c>
      <c r="R86" s="47">
        <f t="shared" si="66"/>
        <v>105.68627450980392</v>
      </c>
      <c r="S86" s="47">
        <f t="shared" si="67"/>
        <v>70.45751633986929</v>
      </c>
      <c r="T86" s="14">
        <f t="shared" si="68"/>
        <v>158.52941176470588</v>
      </c>
      <c r="U86" s="52">
        <f t="shared" si="69"/>
        <v>827.8758169934641</v>
      </c>
      <c r="V86" s="52">
        <f t="shared" si="79"/>
        <v>2036.939662125</v>
      </c>
      <c r="W86" s="109">
        <f t="shared" si="71"/>
        <v>2695</v>
      </c>
      <c r="X86" s="103">
        <f t="shared" si="76"/>
        <v>255</v>
      </c>
      <c r="Y86" s="103">
        <f t="shared" si="77"/>
        <v>0</v>
      </c>
      <c r="Z86" s="122">
        <f t="shared" si="78"/>
        <v>50</v>
      </c>
      <c r="AA86" s="110">
        <f t="shared" si="72"/>
        <v>3000</v>
      </c>
    </row>
    <row r="87" spans="1:27" ht="12.75">
      <c r="A87" s="16">
        <v>580</v>
      </c>
      <c r="B87" s="3" t="s">
        <v>11</v>
      </c>
      <c r="C87" s="39">
        <v>753</v>
      </c>
      <c r="D87" s="39">
        <v>187</v>
      </c>
      <c r="E87" s="39">
        <v>50</v>
      </c>
      <c r="F87" s="11">
        <f t="shared" si="60"/>
        <v>1172.347206</v>
      </c>
      <c r="G87" s="11">
        <f t="shared" si="61"/>
        <v>291.140674</v>
      </c>
      <c r="H87" s="11">
        <f t="shared" si="61"/>
        <v>77.8451</v>
      </c>
      <c r="I87" s="37">
        <f t="shared" si="62"/>
        <v>1541.33298</v>
      </c>
      <c r="J87" s="47">
        <f t="shared" si="63"/>
        <v>154.133298</v>
      </c>
      <c r="K87" s="11">
        <f t="shared" si="73"/>
        <v>640</v>
      </c>
      <c r="L87" s="11"/>
      <c r="M87" s="47">
        <f t="shared" si="74"/>
        <v>327.199947</v>
      </c>
      <c r="N87" s="14">
        <f t="shared" si="75"/>
        <v>860.209591993464</v>
      </c>
      <c r="O87" s="14">
        <f t="shared" si="64"/>
        <v>3522.875816993464</v>
      </c>
      <c r="P87" s="52">
        <f t="shared" si="65"/>
        <v>387.51633986928107</v>
      </c>
      <c r="Q87" s="47">
        <f t="shared" si="66"/>
        <v>105.68627450980392</v>
      </c>
      <c r="R87" s="47">
        <f t="shared" si="66"/>
        <v>105.68627450980392</v>
      </c>
      <c r="S87" s="47">
        <f t="shared" si="67"/>
        <v>70.45751633986929</v>
      </c>
      <c r="T87" s="14">
        <f t="shared" si="68"/>
        <v>158.52941176470588</v>
      </c>
      <c r="U87" s="52">
        <f t="shared" si="69"/>
        <v>827.8758169934641</v>
      </c>
      <c r="V87" s="52">
        <f t="shared" si="79"/>
        <v>2036.939662125</v>
      </c>
      <c r="W87" s="109">
        <f t="shared" si="71"/>
        <v>2695</v>
      </c>
      <c r="X87" s="103">
        <f t="shared" si="76"/>
        <v>255</v>
      </c>
      <c r="Y87" s="103">
        <f t="shared" si="77"/>
        <v>0</v>
      </c>
      <c r="Z87" s="122">
        <f t="shared" si="78"/>
        <v>50</v>
      </c>
      <c r="AA87" s="110">
        <f t="shared" si="72"/>
        <v>3000</v>
      </c>
    </row>
    <row r="88" spans="1:27" ht="12.75">
      <c r="A88" s="16">
        <v>6539</v>
      </c>
      <c r="B88" s="3" t="s">
        <v>26</v>
      </c>
      <c r="C88" s="39">
        <v>37.65</v>
      </c>
      <c r="D88" s="39">
        <v>9.35</v>
      </c>
      <c r="E88" s="39"/>
      <c r="F88" s="11">
        <f>C88*$D$9</f>
        <v>58.6173603</v>
      </c>
      <c r="G88" s="11">
        <f>D88*$D$9</f>
        <v>14.5570337</v>
      </c>
      <c r="H88" s="11">
        <f aca="true" t="shared" si="80" ref="H88:H95">E88*$D$9</f>
        <v>0</v>
      </c>
      <c r="I88" s="37">
        <f t="shared" si="62"/>
        <v>73.174394</v>
      </c>
      <c r="J88" s="47">
        <f t="shared" si="63"/>
        <v>7.317439400000001</v>
      </c>
      <c r="K88" s="11">
        <f aca="true" t="shared" si="81" ref="K88:K95">$D$10/17</f>
        <v>37.64705882352941</v>
      </c>
      <c r="L88" s="11"/>
      <c r="M88" s="47">
        <f t="shared" si="74"/>
        <v>16.623217923529413</v>
      </c>
      <c r="N88" s="47">
        <f aca="true" t="shared" si="82" ref="N88:N95">IF(((I88+J88+K88+L88+M88)*15)&lt;$I$11,($I$11/15-(I88+J88+K88+L88+M88)),0)</f>
        <v>100.09588985294118</v>
      </c>
      <c r="O88" s="14">
        <f t="shared" si="64"/>
        <v>234.858</v>
      </c>
      <c r="P88" s="52">
        <f t="shared" si="65"/>
        <v>25.83438</v>
      </c>
      <c r="Q88" s="47">
        <f t="shared" si="66"/>
        <v>7.0457399999999994</v>
      </c>
      <c r="R88" s="47">
        <f t="shared" si="66"/>
        <v>7.0457399999999994</v>
      </c>
      <c r="S88" s="47">
        <f t="shared" si="67"/>
        <v>4.69716</v>
      </c>
      <c r="T88" s="14">
        <f t="shared" si="68"/>
        <v>10.56861</v>
      </c>
      <c r="U88" s="52">
        <f t="shared" si="69"/>
        <v>55.19163</v>
      </c>
      <c r="V88" s="52">
        <f t="shared" si="79"/>
        <v>103.09301426249999</v>
      </c>
      <c r="W88" s="109">
        <f t="shared" si="71"/>
        <v>179.66637</v>
      </c>
      <c r="X88" s="103">
        <f aca="true" t="shared" si="83" ref="X88:X95">$D$12/15</f>
        <v>17</v>
      </c>
      <c r="Y88" s="103">
        <f aca="true" t="shared" si="84" ref="Y88:Y95">$I$12/15</f>
        <v>0</v>
      </c>
      <c r="Z88" s="122">
        <f aca="true" t="shared" si="85" ref="Z88:Z95">$D$14/17</f>
        <v>2.9411764705882355</v>
      </c>
      <c r="AA88" s="110">
        <f t="shared" si="72"/>
        <v>199.60754647058823</v>
      </c>
    </row>
    <row r="89" spans="1:27" ht="12.75">
      <c r="A89" s="16">
        <v>6540</v>
      </c>
      <c r="B89" s="3" t="s">
        <v>27</v>
      </c>
      <c r="C89" s="39">
        <v>37.65</v>
      </c>
      <c r="D89" s="39">
        <v>9.35</v>
      </c>
      <c r="E89" s="39"/>
      <c r="F89" s="11">
        <f aca="true" t="shared" si="86" ref="F89:F95">C89*$D$9</f>
        <v>58.6173603</v>
      </c>
      <c r="G89" s="11">
        <f aca="true" t="shared" si="87" ref="G89:G95">D89*$D$9</f>
        <v>14.5570337</v>
      </c>
      <c r="H89" s="11">
        <f t="shared" si="80"/>
        <v>0</v>
      </c>
      <c r="I89" s="37">
        <f t="shared" si="62"/>
        <v>73.174394</v>
      </c>
      <c r="J89" s="47">
        <f t="shared" si="63"/>
        <v>7.317439400000001</v>
      </c>
      <c r="K89" s="11">
        <f t="shared" si="81"/>
        <v>37.64705882352941</v>
      </c>
      <c r="L89" s="11"/>
      <c r="M89" s="47">
        <f t="shared" si="74"/>
        <v>16.623217923529413</v>
      </c>
      <c r="N89" s="47">
        <f t="shared" si="82"/>
        <v>100.09588985294118</v>
      </c>
      <c r="O89" s="14">
        <f t="shared" si="64"/>
        <v>234.858</v>
      </c>
      <c r="P89" s="52">
        <f t="shared" si="65"/>
        <v>25.83438</v>
      </c>
      <c r="Q89" s="47">
        <f t="shared" si="66"/>
        <v>7.0457399999999994</v>
      </c>
      <c r="R89" s="47">
        <f t="shared" si="66"/>
        <v>7.0457399999999994</v>
      </c>
      <c r="S89" s="47">
        <f t="shared" si="67"/>
        <v>4.69716</v>
      </c>
      <c r="T89" s="14">
        <f t="shared" si="68"/>
        <v>10.56861</v>
      </c>
      <c r="U89" s="52">
        <f t="shared" si="69"/>
        <v>55.19163</v>
      </c>
      <c r="V89" s="52">
        <f t="shared" si="79"/>
        <v>103.09301426249999</v>
      </c>
      <c r="W89" s="109">
        <f t="shared" si="71"/>
        <v>179.66637</v>
      </c>
      <c r="X89" s="103">
        <f t="shared" si="83"/>
        <v>17</v>
      </c>
      <c r="Y89" s="103">
        <f t="shared" si="84"/>
        <v>0</v>
      </c>
      <c r="Z89" s="122">
        <f t="shared" si="85"/>
        <v>2.9411764705882355</v>
      </c>
      <c r="AA89" s="110">
        <f t="shared" si="72"/>
        <v>199.60754647058823</v>
      </c>
    </row>
    <row r="90" spans="1:27" ht="12.75">
      <c r="A90" s="16">
        <v>6541</v>
      </c>
      <c r="B90" s="3" t="s">
        <v>74</v>
      </c>
      <c r="C90" s="39">
        <v>37.65</v>
      </c>
      <c r="D90" s="39">
        <v>9.35</v>
      </c>
      <c r="E90" s="39"/>
      <c r="F90" s="11">
        <f t="shared" si="86"/>
        <v>58.6173603</v>
      </c>
      <c r="G90" s="11">
        <f t="shared" si="87"/>
        <v>14.5570337</v>
      </c>
      <c r="H90" s="11">
        <f t="shared" si="80"/>
        <v>0</v>
      </c>
      <c r="I90" s="37">
        <f aca="true" t="shared" si="88" ref="I90:I95">G90+F90+H90</f>
        <v>73.174394</v>
      </c>
      <c r="J90" s="47">
        <f t="shared" si="63"/>
        <v>7.317439400000001</v>
      </c>
      <c r="K90" s="11">
        <f t="shared" si="81"/>
        <v>37.64705882352941</v>
      </c>
      <c r="L90" s="11"/>
      <c r="M90" s="47">
        <f t="shared" si="74"/>
        <v>16.623217923529413</v>
      </c>
      <c r="N90" s="47">
        <f t="shared" si="82"/>
        <v>100.09588985294118</v>
      </c>
      <c r="O90" s="14">
        <f t="shared" si="64"/>
        <v>234.858</v>
      </c>
      <c r="P90" s="52">
        <f t="shared" si="65"/>
        <v>25.83438</v>
      </c>
      <c r="Q90" s="47">
        <f t="shared" si="66"/>
        <v>7.0457399999999994</v>
      </c>
      <c r="R90" s="47">
        <f t="shared" si="66"/>
        <v>7.0457399999999994</v>
      </c>
      <c r="S90" s="47">
        <f t="shared" si="67"/>
        <v>4.69716</v>
      </c>
      <c r="T90" s="14">
        <f t="shared" si="68"/>
        <v>10.56861</v>
      </c>
      <c r="U90" s="52">
        <f t="shared" si="69"/>
        <v>55.19163</v>
      </c>
      <c r="V90" s="52">
        <f t="shared" si="79"/>
        <v>103.09301426249999</v>
      </c>
      <c r="W90" s="109">
        <f t="shared" si="71"/>
        <v>179.66637</v>
      </c>
      <c r="X90" s="103">
        <f t="shared" si="83"/>
        <v>17</v>
      </c>
      <c r="Y90" s="103">
        <f t="shared" si="84"/>
        <v>0</v>
      </c>
      <c r="Z90" s="122">
        <f t="shared" si="85"/>
        <v>2.9411764705882355</v>
      </c>
      <c r="AA90" s="110">
        <f t="shared" si="72"/>
        <v>199.60754647058823</v>
      </c>
    </row>
    <row r="91" spans="1:27" ht="12.75">
      <c r="A91" s="16">
        <v>6850</v>
      </c>
      <c r="B91" s="3" t="s">
        <v>32</v>
      </c>
      <c r="C91" s="39">
        <v>37.65</v>
      </c>
      <c r="D91" s="39">
        <v>9.35</v>
      </c>
      <c r="E91" s="39"/>
      <c r="F91" s="11">
        <f t="shared" si="86"/>
        <v>58.6173603</v>
      </c>
      <c r="G91" s="11">
        <f t="shared" si="87"/>
        <v>14.5570337</v>
      </c>
      <c r="H91" s="11">
        <f t="shared" si="80"/>
        <v>0</v>
      </c>
      <c r="I91" s="37">
        <f t="shared" si="88"/>
        <v>73.174394</v>
      </c>
      <c r="J91" s="47">
        <f t="shared" si="63"/>
        <v>7.317439400000001</v>
      </c>
      <c r="K91" s="11">
        <f t="shared" si="81"/>
        <v>37.64705882352941</v>
      </c>
      <c r="L91" s="11"/>
      <c r="M91" s="47">
        <f t="shared" si="74"/>
        <v>16.623217923529413</v>
      </c>
      <c r="N91" s="47">
        <f t="shared" si="82"/>
        <v>100.09588985294118</v>
      </c>
      <c r="O91" s="14">
        <f t="shared" si="64"/>
        <v>234.858</v>
      </c>
      <c r="P91" s="52">
        <f t="shared" si="65"/>
        <v>25.83438</v>
      </c>
      <c r="Q91" s="47">
        <f t="shared" si="66"/>
        <v>7.0457399999999994</v>
      </c>
      <c r="R91" s="47">
        <f t="shared" si="66"/>
        <v>7.0457399999999994</v>
      </c>
      <c r="S91" s="47">
        <f t="shared" si="67"/>
        <v>4.69716</v>
      </c>
      <c r="T91" s="14">
        <f t="shared" si="68"/>
        <v>10.56861</v>
      </c>
      <c r="U91" s="52">
        <f t="shared" si="69"/>
        <v>55.19163</v>
      </c>
      <c r="V91" s="52">
        <f t="shared" si="79"/>
        <v>103.09301426249999</v>
      </c>
      <c r="W91" s="109">
        <f t="shared" si="71"/>
        <v>179.66637</v>
      </c>
      <c r="X91" s="103">
        <f t="shared" si="83"/>
        <v>17</v>
      </c>
      <c r="Y91" s="103">
        <f t="shared" si="84"/>
        <v>0</v>
      </c>
      <c r="Z91" s="122">
        <f t="shared" si="85"/>
        <v>2.9411764705882355</v>
      </c>
      <c r="AA91" s="110">
        <f t="shared" si="72"/>
        <v>199.60754647058823</v>
      </c>
    </row>
    <row r="92" spans="1:27" ht="12.75">
      <c r="A92" s="16">
        <v>6546</v>
      </c>
      <c r="B92" s="3" t="s">
        <v>28</v>
      </c>
      <c r="C92" s="42">
        <v>50.2</v>
      </c>
      <c r="D92" s="39">
        <v>12.47</v>
      </c>
      <c r="E92" s="39"/>
      <c r="F92" s="11">
        <f t="shared" si="86"/>
        <v>78.1564804</v>
      </c>
      <c r="G92" s="11">
        <f t="shared" si="87"/>
        <v>19.41456794</v>
      </c>
      <c r="H92" s="11">
        <f t="shared" si="80"/>
        <v>0</v>
      </c>
      <c r="I92" s="37">
        <f t="shared" si="88"/>
        <v>97.57104834</v>
      </c>
      <c r="J92" s="47">
        <f t="shared" si="63"/>
        <v>9.757104834000002</v>
      </c>
      <c r="K92" s="11">
        <f t="shared" si="81"/>
        <v>37.64705882352941</v>
      </c>
      <c r="L92" s="11"/>
      <c r="M92" s="47">
        <f t="shared" si="74"/>
        <v>20.282716074529414</v>
      </c>
      <c r="N92" s="47">
        <f t="shared" si="82"/>
        <v>69.60007192794117</v>
      </c>
      <c r="O92" s="14">
        <f t="shared" si="64"/>
        <v>234.858</v>
      </c>
      <c r="P92" s="52">
        <f t="shared" si="65"/>
        <v>25.83438</v>
      </c>
      <c r="Q92" s="47">
        <f t="shared" si="66"/>
        <v>7.0457399999999994</v>
      </c>
      <c r="R92" s="47">
        <f t="shared" si="66"/>
        <v>7.0457399999999994</v>
      </c>
      <c r="S92" s="47">
        <f t="shared" si="67"/>
        <v>4.69716</v>
      </c>
      <c r="T92" s="14">
        <f t="shared" si="68"/>
        <v>10.56861</v>
      </c>
      <c r="U92" s="52">
        <f t="shared" si="69"/>
        <v>55.19163</v>
      </c>
      <c r="V92" s="52">
        <f t="shared" si="79"/>
        <v>126.422314975125</v>
      </c>
      <c r="W92" s="109">
        <f t="shared" si="71"/>
        <v>179.66637</v>
      </c>
      <c r="X92" s="103">
        <f t="shared" si="83"/>
        <v>17</v>
      </c>
      <c r="Y92" s="103">
        <f t="shared" si="84"/>
        <v>0</v>
      </c>
      <c r="Z92" s="122">
        <f t="shared" si="85"/>
        <v>2.9411764705882355</v>
      </c>
      <c r="AA92" s="110">
        <f t="shared" si="72"/>
        <v>199.60754647058823</v>
      </c>
    </row>
    <row r="93" spans="1:27" ht="12.75">
      <c r="A93" s="16">
        <v>6571</v>
      </c>
      <c r="B93" s="3" t="s">
        <v>29</v>
      </c>
      <c r="C93" s="39">
        <v>37.65</v>
      </c>
      <c r="D93" s="39">
        <v>9.35</v>
      </c>
      <c r="E93" s="39"/>
      <c r="F93" s="11">
        <f t="shared" si="86"/>
        <v>58.6173603</v>
      </c>
      <c r="G93" s="11">
        <f t="shared" si="87"/>
        <v>14.5570337</v>
      </c>
      <c r="H93" s="11">
        <f t="shared" si="80"/>
        <v>0</v>
      </c>
      <c r="I93" s="37">
        <f t="shared" si="88"/>
        <v>73.174394</v>
      </c>
      <c r="J93" s="47">
        <f t="shared" si="63"/>
        <v>7.317439400000001</v>
      </c>
      <c r="K93" s="11">
        <f t="shared" si="81"/>
        <v>37.64705882352941</v>
      </c>
      <c r="L93" s="11"/>
      <c r="M93" s="47">
        <f t="shared" si="74"/>
        <v>16.623217923529413</v>
      </c>
      <c r="N93" s="47">
        <f t="shared" si="82"/>
        <v>100.09588985294118</v>
      </c>
      <c r="O93" s="14">
        <f t="shared" si="64"/>
        <v>234.858</v>
      </c>
      <c r="P93" s="52">
        <f t="shared" si="65"/>
        <v>25.83438</v>
      </c>
      <c r="Q93" s="47">
        <f t="shared" si="66"/>
        <v>7.0457399999999994</v>
      </c>
      <c r="R93" s="47">
        <f t="shared" si="66"/>
        <v>7.0457399999999994</v>
      </c>
      <c r="S93" s="47">
        <f t="shared" si="67"/>
        <v>4.69716</v>
      </c>
      <c r="T93" s="14">
        <f t="shared" si="68"/>
        <v>10.56861</v>
      </c>
      <c r="U93" s="52">
        <f t="shared" si="69"/>
        <v>55.19163</v>
      </c>
      <c r="V93" s="52">
        <f t="shared" si="79"/>
        <v>103.09301426249999</v>
      </c>
      <c r="W93" s="109">
        <f t="shared" si="71"/>
        <v>179.66637</v>
      </c>
      <c r="X93" s="103">
        <f t="shared" si="83"/>
        <v>17</v>
      </c>
      <c r="Y93" s="103">
        <f t="shared" si="84"/>
        <v>0</v>
      </c>
      <c r="Z93" s="122">
        <f t="shared" si="85"/>
        <v>2.9411764705882355</v>
      </c>
      <c r="AA93" s="110">
        <f t="shared" si="72"/>
        <v>199.60754647058823</v>
      </c>
    </row>
    <row r="94" spans="1:27" ht="12.75">
      <c r="A94" s="16">
        <v>6508</v>
      </c>
      <c r="B94" s="3" t="s">
        <v>97</v>
      </c>
      <c r="C94" s="39">
        <v>47</v>
      </c>
      <c r="D94" s="39">
        <v>8</v>
      </c>
      <c r="E94" s="39"/>
      <c r="F94" s="11">
        <f t="shared" si="86"/>
        <v>73.174394</v>
      </c>
      <c r="G94" s="11">
        <f t="shared" si="87"/>
        <v>12.455216</v>
      </c>
      <c r="H94" s="11">
        <f t="shared" si="80"/>
        <v>0</v>
      </c>
      <c r="I94" s="37">
        <f t="shared" si="88"/>
        <v>85.62961000000001</v>
      </c>
      <c r="J94" s="47">
        <f t="shared" si="63"/>
        <v>8.562961000000001</v>
      </c>
      <c r="K94" s="11">
        <f t="shared" si="81"/>
        <v>37.64705882352941</v>
      </c>
      <c r="L94" s="11"/>
      <c r="M94" s="47">
        <f t="shared" si="74"/>
        <v>18.491500323529415</v>
      </c>
      <c r="N94" s="47">
        <f t="shared" si="82"/>
        <v>84.52686985294116</v>
      </c>
      <c r="O94" s="14">
        <f t="shared" si="64"/>
        <v>234.858</v>
      </c>
      <c r="P94" s="52">
        <f t="shared" si="65"/>
        <v>25.83438</v>
      </c>
      <c r="Q94" s="47">
        <f t="shared" si="66"/>
        <v>7.0457399999999994</v>
      </c>
      <c r="R94" s="47">
        <f t="shared" si="66"/>
        <v>7.0457399999999994</v>
      </c>
      <c r="S94" s="47">
        <f t="shared" si="67"/>
        <v>4.69716</v>
      </c>
      <c r="T94" s="14">
        <f t="shared" si="68"/>
        <v>10.56861</v>
      </c>
      <c r="U94" s="52">
        <f t="shared" si="69"/>
        <v>55.19163</v>
      </c>
      <c r="V94" s="52">
        <f t="shared" si="79"/>
        <v>115.00331456250001</v>
      </c>
      <c r="W94" s="109">
        <f t="shared" si="71"/>
        <v>179.66637</v>
      </c>
      <c r="X94" s="103">
        <f t="shared" si="83"/>
        <v>17</v>
      </c>
      <c r="Y94" s="103">
        <f t="shared" si="84"/>
        <v>0</v>
      </c>
      <c r="Z94" s="122">
        <f t="shared" si="85"/>
        <v>2.9411764705882355</v>
      </c>
      <c r="AA94" s="110">
        <f t="shared" si="72"/>
        <v>199.60754647058823</v>
      </c>
    </row>
    <row r="95" spans="1:27" ht="13.5" thickBot="1">
      <c r="A95" s="17">
        <v>6536</v>
      </c>
      <c r="B95" s="6" t="s">
        <v>30</v>
      </c>
      <c r="C95" s="40">
        <v>37.65</v>
      </c>
      <c r="D95" s="40">
        <v>9.35</v>
      </c>
      <c r="E95" s="40"/>
      <c r="F95" s="11">
        <f t="shared" si="86"/>
        <v>58.6173603</v>
      </c>
      <c r="G95" s="11">
        <f t="shared" si="87"/>
        <v>14.5570337</v>
      </c>
      <c r="H95" s="11">
        <f t="shared" si="80"/>
        <v>0</v>
      </c>
      <c r="I95" s="37">
        <f t="shared" si="88"/>
        <v>73.174394</v>
      </c>
      <c r="J95" s="48">
        <f t="shared" si="63"/>
        <v>7.317439400000001</v>
      </c>
      <c r="K95" s="12">
        <f t="shared" si="81"/>
        <v>37.64705882352941</v>
      </c>
      <c r="L95" s="12"/>
      <c r="M95" s="47">
        <f t="shared" si="74"/>
        <v>16.623217923529413</v>
      </c>
      <c r="N95" s="120">
        <f t="shared" si="82"/>
        <v>100.09588985294118</v>
      </c>
      <c r="O95" s="15">
        <f t="shared" si="64"/>
        <v>234.858</v>
      </c>
      <c r="P95" s="53">
        <f t="shared" si="65"/>
        <v>25.83438</v>
      </c>
      <c r="Q95" s="48">
        <f t="shared" si="66"/>
        <v>7.0457399999999994</v>
      </c>
      <c r="R95" s="48">
        <f t="shared" si="66"/>
        <v>7.0457399999999994</v>
      </c>
      <c r="S95" s="48">
        <f t="shared" si="67"/>
        <v>4.69716</v>
      </c>
      <c r="T95" s="15">
        <f t="shared" si="68"/>
        <v>10.56861</v>
      </c>
      <c r="U95" s="53">
        <f t="shared" si="69"/>
        <v>55.19163</v>
      </c>
      <c r="V95" s="53">
        <f t="shared" si="79"/>
        <v>103.09301426249999</v>
      </c>
      <c r="W95" s="107">
        <f t="shared" si="71"/>
        <v>179.66637</v>
      </c>
      <c r="X95" s="104">
        <f t="shared" si="83"/>
        <v>17</v>
      </c>
      <c r="Y95" s="104">
        <f t="shared" si="84"/>
        <v>0</v>
      </c>
      <c r="Z95" s="123">
        <f t="shared" si="85"/>
        <v>2.9411764705882355</v>
      </c>
      <c r="AA95" s="121">
        <f t="shared" si="72"/>
        <v>199.60754647058823</v>
      </c>
    </row>
    <row r="96" spans="1:23" ht="12.75">
      <c r="A96" s="24" t="s">
        <v>73</v>
      </c>
      <c r="B96" s="31" t="s">
        <v>100</v>
      </c>
      <c r="C96" s="24"/>
      <c r="D96" s="24"/>
      <c r="E96" s="24"/>
      <c r="F96" s="22"/>
      <c r="G96" s="22"/>
      <c r="H96" s="22"/>
      <c r="I96" s="23"/>
      <c r="J96" s="23"/>
      <c r="K96" s="22"/>
      <c r="L96" s="22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ht="13.5" thickBot="1"/>
    <row r="98" spans="1:27" ht="21" thickBot="1">
      <c r="A98" s="176" t="s">
        <v>35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83"/>
      <c r="Y98" s="83"/>
      <c r="Z98" s="83"/>
      <c r="AA98" s="84"/>
    </row>
    <row r="99" spans="1:27" s="13" customFormat="1" ht="12.75" customHeight="1">
      <c r="A99" s="178" t="s">
        <v>1</v>
      </c>
      <c r="B99" s="180" t="s">
        <v>0</v>
      </c>
      <c r="C99" s="133" t="s">
        <v>2</v>
      </c>
      <c r="D99" s="134"/>
      <c r="E99" s="131"/>
      <c r="F99" s="182" t="s">
        <v>61</v>
      </c>
      <c r="G99" s="182" t="s">
        <v>62</v>
      </c>
      <c r="H99" s="207" t="s">
        <v>142</v>
      </c>
      <c r="I99" s="184" t="s">
        <v>68</v>
      </c>
      <c r="J99" s="184" t="s">
        <v>66</v>
      </c>
      <c r="K99" s="182" t="s">
        <v>132</v>
      </c>
      <c r="L99" s="182" t="s">
        <v>136</v>
      </c>
      <c r="M99" s="184" t="s">
        <v>77</v>
      </c>
      <c r="N99" s="186" t="s">
        <v>118</v>
      </c>
      <c r="O99" s="186" t="s">
        <v>117</v>
      </c>
      <c r="P99" s="188" t="s">
        <v>99</v>
      </c>
      <c r="Q99" s="189"/>
      <c r="R99" s="189"/>
      <c r="S99" s="189"/>
      <c r="T99" s="189"/>
      <c r="U99" s="190" t="s">
        <v>116</v>
      </c>
      <c r="V99" s="190" t="s">
        <v>115</v>
      </c>
      <c r="W99" s="192" t="s">
        <v>114</v>
      </c>
      <c r="X99" s="206" t="s">
        <v>121</v>
      </c>
      <c r="Y99" s="113"/>
      <c r="Z99" s="113"/>
      <c r="AA99" s="206" t="s">
        <v>122</v>
      </c>
    </row>
    <row r="100" spans="1:27" s="13" customFormat="1" ht="78" customHeight="1">
      <c r="A100" s="179"/>
      <c r="B100" s="181"/>
      <c r="C100" s="8" t="s">
        <v>3</v>
      </c>
      <c r="D100" s="8" t="s">
        <v>6</v>
      </c>
      <c r="E100" s="8" t="s">
        <v>141</v>
      </c>
      <c r="F100" s="183"/>
      <c r="G100" s="183"/>
      <c r="H100" s="182"/>
      <c r="I100" s="185"/>
      <c r="J100" s="185"/>
      <c r="K100" s="183"/>
      <c r="L100" s="183"/>
      <c r="M100" s="185"/>
      <c r="N100" s="187"/>
      <c r="O100" s="187"/>
      <c r="P100" s="63" t="s">
        <v>101</v>
      </c>
      <c r="Q100" s="62" t="s">
        <v>102</v>
      </c>
      <c r="R100" s="62" t="s">
        <v>103</v>
      </c>
      <c r="S100" s="64" t="s">
        <v>104</v>
      </c>
      <c r="T100" s="64" t="s">
        <v>105</v>
      </c>
      <c r="U100" s="191"/>
      <c r="V100" s="191"/>
      <c r="W100" s="188"/>
      <c r="X100" s="205"/>
      <c r="Y100" s="125" t="s">
        <v>140</v>
      </c>
      <c r="Z100" s="129" t="s">
        <v>145</v>
      </c>
      <c r="AA100" s="205"/>
    </row>
    <row r="101" spans="1:27" ht="12.75">
      <c r="A101" s="16">
        <v>603</v>
      </c>
      <c r="B101" s="3" t="s">
        <v>36</v>
      </c>
      <c r="C101" s="39">
        <v>2100</v>
      </c>
      <c r="D101" s="39">
        <v>326</v>
      </c>
      <c r="E101" s="39">
        <v>121</v>
      </c>
      <c r="F101" s="11">
        <f aca="true" t="shared" si="89" ref="F101:F112">C101*$D$9</f>
        <v>3269.4942</v>
      </c>
      <c r="G101" s="11">
        <f aca="true" t="shared" si="90" ref="G101:H112">D101*$D$9</f>
        <v>507.550052</v>
      </c>
      <c r="H101" s="11">
        <f t="shared" si="90"/>
        <v>188.385142</v>
      </c>
      <c r="I101" s="37">
        <f aca="true" t="shared" si="91" ref="I101:I112">G101+F101+H101</f>
        <v>3965.4293940000002</v>
      </c>
      <c r="J101" s="47">
        <f aca="true" t="shared" si="92" ref="J101:J112">I101*0.1</f>
        <v>396.5429394</v>
      </c>
      <c r="K101" s="11">
        <f aca="true" t="shared" si="93" ref="K101:K111">$D$10</f>
        <v>640</v>
      </c>
      <c r="L101" s="11">
        <v>276.51</v>
      </c>
      <c r="M101" s="47">
        <v>0</v>
      </c>
      <c r="N101" s="14">
        <f aca="true" t="shared" si="94" ref="N101:N111">IF((I101+J101+K101+L101+M101)-((I101+J101+K101+L101+M101)*0.235)&lt;$D$11,($D$11-((I101+J101+K101+L101+M101)-((I101+J101+K101+L101+M101)*0.235)))/0.765,0)</f>
        <v>0</v>
      </c>
      <c r="O101" s="14">
        <f aca="true" t="shared" si="95" ref="O101:O112">SUM(I101:N101)</f>
        <v>5278.4823334</v>
      </c>
      <c r="P101" s="52">
        <f aca="true" t="shared" si="96" ref="P101:P112">$O101*11%</f>
        <v>580.633056674</v>
      </c>
      <c r="Q101" s="47">
        <f aca="true" t="shared" si="97" ref="Q101:R112">$O101*3%</f>
        <v>158.354470002</v>
      </c>
      <c r="R101" s="47">
        <f t="shared" si="97"/>
        <v>158.354470002</v>
      </c>
      <c r="S101" s="47">
        <f aca="true" t="shared" si="98" ref="S101:S112">$O101*2%</f>
        <v>105.569646668</v>
      </c>
      <c r="T101" s="14">
        <f aca="true" t="shared" si="99" ref="T101:T112">$O101*4.5%</f>
        <v>237.531705003</v>
      </c>
      <c r="U101" s="52">
        <f aca="true" t="shared" si="100" ref="U101:U112">SUM(Q101:T101)+P101</f>
        <v>1240.4433483490002</v>
      </c>
      <c r="V101" s="52">
        <f>(I101+J101+K101+L101+M101)-((I101+J101+K101+L101+M101)*0.235)</f>
        <v>4038.038985051</v>
      </c>
      <c r="W101" s="109">
        <f aca="true" t="shared" si="101" ref="W101:W112">O101-U101</f>
        <v>4038.038985051</v>
      </c>
      <c r="X101" s="103">
        <f aca="true" t="shared" si="102" ref="X101:X111">$D$12</f>
        <v>255</v>
      </c>
      <c r="Y101" s="103">
        <f aca="true" t="shared" si="103" ref="Y101:Y111">$I$12</f>
        <v>0</v>
      </c>
      <c r="Z101" s="122">
        <f aca="true" t="shared" si="104" ref="Z101:Z111">$D$14</f>
        <v>50</v>
      </c>
      <c r="AA101" s="110">
        <f aca="true" t="shared" si="105" ref="AA101:AA112">W101+X101+Y101+Z101</f>
        <v>4343.038985051</v>
      </c>
    </row>
    <row r="102" spans="1:27" ht="12.75">
      <c r="A102" s="16">
        <v>1515</v>
      </c>
      <c r="B102" s="3" t="s">
        <v>37</v>
      </c>
      <c r="C102" s="39">
        <v>1763</v>
      </c>
      <c r="D102" s="39">
        <v>436</v>
      </c>
      <c r="E102" s="39">
        <v>110</v>
      </c>
      <c r="F102" s="11">
        <f t="shared" si="89"/>
        <v>2744.818226</v>
      </c>
      <c r="G102" s="11">
        <f t="shared" si="90"/>
        <v>678.809272</v>
      </c>
      <c r="H102" s="11">
        <f t="shared" si="90"/>
        <v>171.25922</v>
      </c>
      <c r="I102" s="37">
        <f t="shared" si="91"/>
        <v>3594.8867179999997</v>
      </c>
      <c r="J102" s="47">
        <f t="shared" si="92"/>
        <v>359.4886718</v>
      </c>
      <c r="K102" s="11">
        <f t="shared" si="93"/>
        <v>640</v>
      </c>
      <c r="L102" s="11">
        <v>163.62</v>
      </c>
      <c r="M102" s="47">
        <v>0</v>
      </c>
      <c r="N102" s="14">
        <f t="shared" si="94"/>
        <v>0</v>
      </c>
      <c r="O102" s="14">
        <f t="shared" si="95"/>
        <v>4757.995389799999</v>
      </c>
      <c r="P102" s="52">
        <f t="shared" si="96"/>
        <v>523.379492878</v>
      </c>
      <c r="Q102" s="47">
        <f t="shared" si="97"/>
        <v>142.73986169399998</v>
      </c>
      <c r="R102" s="47">
        <f t="shared" si="97"/>
        <v>142.73986169399998</v>
      </c>
      <c r="S102" s="47">
        <f t="shared" si="98"/>
        <v>95.15990779599998</v>
      </c>
      <c r="T102" s="14">
        <f t="shared" si="99"/>
        <v>214.10979254099996</v>
      </c>
      <c r="U102" s="52">
        <f t="shared" si="100"/>
        <v>1118.1289166029999</v>
      </c>
      <c r="V102" s="52">
        <f>(I102+J102+K102+L102+M102)-((I102+J102+K102+L102+M102)*0.235)</f>
        <v>3639.8664731969993</v>
      </c>
      <c r="W102" s="109">
        <f t="shared" si="101"/>
        <v>3639.8664731969993</v>
      </c>
      <c r="X102" s="103">
        <f t="shared" si="102"/>
        <v>255</v>
      </c>
      <c r="Y102" s="103">
        <f t="shared" si="103"/>
        <v>0</v>
      </c>
      <c r="Z102" s="122">
        <f t="shared" si="104"/>
        <v>50</v>
      </c>
      <c r="AA102" s="110">
        <f t="shared" si="105"/>
        <v>3944.8664731969993</v>
      </c>
    </row>
    <row r="103" spans="1:27" ht="12.75">
      <c r="A103" s="16">
        <v>1532</v>
      </c>
      <c r="B103" s="3" t="s">
        <v>38</v>
      </c>
      <c r="C103" s="39">
        <v>866</v>
      </c>
      <c r="D103" s="137">
        <v>784</v>
      </c>
      <c r="E103" s="135"/>
      <c r="F103" s="11">
        <f t="shared" si="89"/>
        <v>1348.277132</v>
      </c>
      <c r="G103" s="11">
        <f t="shared" si="90"/>
        <v>1220.611168</v>
      </c>
      <c r="H103" s="11">
        <f t="shared" si="90"/>
        <v>0</v>
      </c>
      <c r="I103" s="37">
        <f t="shared" si="91"/>
        <v>2568.8882999999996</v>
      </c>
      <c r="J103" s="47">
        <f t="shared" si="92"/>
        <v>256.88883</v>
      </c>
      <c r="K103" s="11">
        <f t="shared" si="93"/>
        <v>640</v>
      </c>
      <c r="L103" s="11">
        <v>355.59</v>
      </c>
      <c r="M103" s="47">
        <v>0</v>
      </c>
      <c r="N103" s="14">
        <f t="shared" si="94"/>
        <v>0</v>
      </c>
      <c r="O103" s="14">
        <f t="shared" si="95"/>
        <v>3821.3671299999996</v>
      </c>
      <c r="P103" s="52">
        <f t="shared" si="96"/>
        <v>420.3503843</v>
      </c>
      <c r="Q103" s="47">
        <f t="shared" si="97"/>
        <v>114.64101389999999</v>
      </c>
      <c r="R103" s="47">
        <f t="shared" si="97"/>
        <v>114.64101389999999</v>
      </c>
      <c r="S103" s="47">
        <f t="shared" si="98"/>
        <v>76.42734259999999</v>
      </c>
      <c r="T103" s="14">
        <f t="shared" si="99"/>
        <v>171.96152084999997</v>
      </c>
      <c r="U103" s="52">
        <f t="shared" si="100"/>
        <v>898.0212755499999</v>
      </c>
      <c r="V103" s="52">
        <f>(I103+J103+K103+L103+M103)-((I103+J103+K103+L103+M103)*0.235)</f>
        <v>2923.34585445</v>
      </c>
      <c r="W103" s="109">
        <f t="shared" si="101"/>
        <v>2923.34585445</v>
      </c>
      <c r="X103" s="103">
        <f t="shared" si="102"/>
        <v>255</v>
      </c>
      <c r="Y103" s="103">
        <f t="shared" si="103"/>
        <v>0</v>
      </c>
      <c r="Z103" s="122">
        <f t="shared" si="104"/>
        <v>50</v>
      </c>
      <c r="AA103" s="110">
        <f t="shared" si="105"/>
        <v>3228.34585445</v>
      </c>
    </row>
    <row r="104" spans="1:27" ht="12.75">
      <c r="A104" s="16">
        <v>1534</v>
      </c>
      <c r="B104" s="3" t="s">
        <v>39</v>
      </c>
      <c r="C104" s="39">
        <v>736</v>
      </c>
      <c r="D104" s="137">
        <v>614</v>
      </c>
      <c r="E104" s="135"/>
      <c r="F104" s="11">
        <f t="shared" si="89"/>
        <v>1145.879872</v>
      </c>
      <c r="G104" s="11">
        <f t="shared" si="90"/>
        <v>955.937828</v>
      </c>
      <c r="H104" s="11">
        <f t="shared" si="90"/>
        <v>0</v>
      </c>
      <c r="I104" s="37">
        <f t="shared" si="91"/>
        <v>2101.8177</v>
      </c>
      <c r="J104" s="47">
        <f t="shared" si="92"/>
        <v>210.18177000000003</v>
      </c>
      <c r="K104" s="11">
        <f t="shared" si="93"/>
        <v>640</v>
      </c>
      <c r="L104" s="11"/>
      <c r="M104" s="47">
        <v>0</v>
      </c>
      <c r="N104" s="14">
        <f t="shared" si="94"/>
        <v>570.8763469934638</v>
      </c>
      <c r="O104" s="14">
        <f t="shared" si="95"/>
        <v>3522.875816993464</v>
      </c>
      <c r="P104" s="52">
        <f t="shared" si="96"/>
        <v>387.51633986928107</v>
      </c>
      <c r="Q104" s="47">
        <f t="shared" si="97"/>
        <v>105.68627450980392</v>
      </c>
      <c r="R104" s="47">
        <f t="shared" si="97"/>
        <v>105.68627450980392</v>
      </c>
      <c r="S104" s="47">
        <f t="shared" si="98"/>
        <v>70.45751633986929</v>
      </c>
      <c r="T104" s="14">
        <f t="shared" si="99"/>
        <v>158.52941176470588</v>
      </c>
      <c r="U104" s="52">
        <f t="shared" si="100"/>
        <v>827.8758169934641</v>
      </c>
      <c r="V104" s="52">
        <f aca="true" t="shared" si="106" ref="V104:V112">(I104+J104+K104+M104)-((I104+J104+K104+M104)*0.235)</f>
        <v>2258.27959455</v>
      </c>
      <c r="W104" s="109">
        <f t="shared" si="101"/>
        <v>2695</v>
      </c>
      <c r="X104" s="103">
        <f t="shared" si="102"/>
        <v>255</v>
      </c>
      <c r="Y104" s="103">
        <f t="shared" si="103"/>
        <v>0</v>
      </c>
      <c r="Z104" s="122">
        <f t="shared" si="104"/>
        <v>50</v>
      </c>
      <c r="AA104" s="110">
        <f t="shared" si="105"/>
        <v>3000</v>
      </c>
    </row>
    <row r="105" spans="1:27" ht="12.75">
      <c r="A105" s="16">
        <v>1556</v>
      </c>
      <c r="B105" s="3" t="s">
        <v>40</v>
      </c>
      <c r="C105" s="39">
        <v>753</v>
      </c>
      <c r="D105" s="39">
        <v>187</v>
      </c>
      <c r="E105" s="39"/>
      <c r="F105" s="11">
        <f t="shared" si="89"/>
        <v>1172.347206</v>
      </c>
      <c r="G105" s="11">
        <f t="shared" si="90"/>
        <v>291.140674</v>
      </c>
      <c r="H105" s="11">
        <f t="shared" si="90"/>
        <v>0</v>
      </c>
      <c r="I105" s="37">
        <f t="shared" si="91"/>
        <v>1463.48788</v>
      </c>
      <c r="J105" s="47">
        <f t="shared" si="92"/>
        <v>146.34878799999998</v>
      </c>
      <c r="K105" s="11">
        <f t="shared" si="93"/>
        <v>640</v>
      </c>
      <c r="L105" s="11"/>
      <c r="M105" s="47">
        <v>0</v>
      </c>
      <c r="N105" s="14">
        <f t="shared" si="94"/>
        <v>1273.039148993464</v>
      </c>
      <c r="O105" s="14">
        <f t="shared" si="95"/>
        <v>3522.875816993464</v>
      </c>
      <c r="P105" s="52">
        <f t="shared" si="96"/>
        <v>387.51633986928107</v>
      </c>
      <c r="Q105" s="47">
        <f t="shared" si="97"/>
        <v>105.68627450980392</v>
      </c>
      <c r="R105" s="47">
        <f t="shared" si="97"/>
        <v>105.68627450980392</v>
      </c>
      <c r="S105" s="47">
        <f t="shared" si="98"/>
        <v>70.45751633986929</v>
      </c>
      <c r="T105" s="14">
        <f t="shared" si="99"/>
        <v>158.52941176470588</v>
      </c>
      <c r="U105" s="52">
        <f t="shared" si="100"/>
        <v>827.8758169934641</v>
      </c>
      <c r="V105" s="52">
        <f t="shared" si="106"/>
        <v>1721.12505102</v>
      </c>
      <c r="W105" s="109">
        <f t="shared" si="101"/>
        <v>2695</v>
      </c>
      <c r="X105" s="103">
        <f t="shared" si="102"/>
        <v>255</v>
      </c>
      <c r="Y105" s="103">
        <f t="shared" si="103"/>
        <v>0</v>
      </c>
      <c r="Z105" s="122">
        <f t="shared" si="104"/>
        <v>50</v>
      </c>
      <c r="AA105" s="110">
        <f t="shared" si="105"/>
        <v>3000</v>
      </c>
    </row>
    <row r="106" spans="1:27" ht="12.75">
      <c r="A106" s="16">
        <v>1557</v>
      </c>
      <c r="B106" s="96" t="s">
        <v>134</v>
      </c>
      <c r="C106" s="39">
        <v>695</v>
      </c>
      <c r="D106" s="39">
        <v>128</v>
      </c>
      <c r="E106" s="39"/>
      <c r="F106" s="11">
        <f t="shared" si="89"/>
        <v>1082.04689</v>
      </c>
      <c r="G106" s="11">
        <f t="shared" si="90"/>
        <v>199.283456</v>
      </c>
      <c r="H106" s="11">
        <f t="shared" si="90"/>
        <v>0</v>
      </c>
      <c r="I106" s="37">
        <f t="shared" si="91"/>
        <v>1281.3303460000002</v>
      </c>
      <c r="J106" s="47">
        <f t="shared" si="92"/>
        <v>128.13303460000003</v>
      </c>
      <c r="K106" s="11">
        <f t="shared" si="93"/>
        <v>640</v>
      </c>
      <c r="L106" s="11"/>
      <c r="M106" s="47">
        <v>0</v>
      </c>
      <c r="N106" s="14">
        <f t="shared" si="94"/>
        <v>1473.4124363934638</v>
      </c>
      <c r="O106" s="14">
        <f t="shared" si="95"/>
        <v>3522.875816993464</v>
      </c>
      <c r="P106" s="52">
        <f t="shared" si="96"/>
        <v>387.51633986928107</v>
      </c>
      <c r="Q106" s="47">
        <f t="shared" si="97"/>
        <v>105.68627450980392</v>
      </c>
      <c r="R106" s="47">
        <f t="shared" si="97"/>
        <v>105.68627450980392</v>
      </c>
      <c r="S106" s="47">
        <f t="shared" si="98"/>
        <v>70.45751633986929</v>
      </c>
      <c r="T106" s="14">
        <f t="shared" si="99"/>
        <v>158.52941176470588</v>
      </c>
      <c r="U106" s="52">
        <f>SUM(Q106:T106)+P106</f>
        <v>827.8758169934641</v>
      </c>
      <c r="V106" s="52">
        <f>(I106+J106+K106+M106)-((I106+J106+K106+M106)*0.235)</f>
        <v>1567.8394861590002</v>
      </c>
      <c r="W106" s="109">
        <f>O106-U106</f>
        <v>2695</v>
      </c>
      <c r="X106" s="103">
        <f t="shared" si="102"/>
        <v>255</v>
      </c>
      <c r="Y106" s="103">
        <f t="shared" si="103"/>
        <v>0</v>
      </c>
      <c r="Z106" s="122">
        <f t="shared" si="104"/>
        <v>50</v>
      </c>
      <c r="AA106" s="110">
        <f t="shared" si="105"/>
        <v>3000</v>
      </c>
    </row>
    <row r="107" spans="1:27" ht="12.75">
      <c r="A107" s="16">
        <v>1559</v>
      </c>
      <c r="B107" s="3" t="s">
        <v>41</v>
      </c>
      <c r="C107" s="39">
        <v>775</v>
      </c>
      <c r="D107" s="39">
        <v>264</v>
      </c>
      <c r="E107" s="39"/>
      <c r="F107" s="11">
        <f t="shared" si="89"/>
        <v>1206.59905</v>
      </c>
      <c r="G107" s="11">
        <f t="shared" si="90"/>
        <v>411.022128</v>
      </c>
      <c r="H107" s="11">
        <f t="shared" si="90"/>
        <v>0</v>
      </c>
      <c r="I107" s="37">
        <f t="shared" si="91"/>
        <v>1617.621178</v>
      </c>
      <c r="J107" s="47">
        <f t="shared" si="92"/>
        <v>161.76211780000003</v>
      </c>
      <c r="K107" s="11">
        <f t="shared" si="93"/>
        <v>640</v>
      </c>
      <c r="L107" s="11"/>
      <c r="M107" s="47">
        <v>0</v>
      </c>
      <c r="N107" s="14">
        <f t="shared" si="94"/>
        <v>1103.4925211934635</v>
      </c>
      <c r="O107" s="14">
        <f t="shared" si="95"/>
        <v>3522.8758169934636</v>
      </c>
      <c r="P107" s="52">
        <f t="shared" si="96"/>
        <v>387.516339869281</v>
      </c>
      <c r="Q107" s="47">
        <f t="shared" si="97"/>
        <v>105.68627450980391</v>
      </c>
      <c r="R107" s="47">
        <f t="shared" si="97"/>
        <v>105.68627450980391</v>
      </c>
      <c r="S107" s="47">
        <f t="shared" si="98"/>
        <v>70.45751633986927</v>
      </c>
      <c r="T107" s="14">
        <f t="shared" si="99"/>
        <v>158.52941176470586</v>
      </c>
      <c r="U107" s="52">
        <f t="shared" si="100"/>
        <v>827.875816993464</v>
      </c>
      <c r="V107" s="52">
        <f t="shared" si="106"/>
        <v>1850.8282212870004</v>
      </c>
      <c r="W107" s="109">
        <f t="shared" si="101"/>
        <v>2694.9999999999995</v>
      </c>
      <c r="X107" s="103">
        <f t="shared" si="102"/>
        <v>255</v>
      </c>
      <c r="Y107" s="103">
        <f t="shared" si="103"/>
        <v>0</v>
      </c>
      <c r="Z107" s="122">
        <f t="shared" si="104"/>
        <v>50</v>
      </c>
      <c r="AA107" s="110">
        <f t="shared" si="105"/>
        <v>2999.9999999999995</v>
      </c>
    </row>
    <row r="108" spans="1:27" ht="12.75">
      <c r="A108" s="16">
        <v>1566</v>
      </c>
      <c r="B108" s="3" t="s">
        <v>42</v>
      </c>
      <c r="C108" s="39">
        <v>753</v>
      </c>
      <c r="D108" s="39">
        <v>187</v>
      </c>
      <c r="E108" s="39"/>
      <c r="F108" s="11">
        <f t="shared" si="89"/>
        <v>1172.347206</v>
      </c>
      <c r="G108" s="11">
        <f t="shared" si="90"/>
        <v>291.140674</v>
      </c>
      <c r="H108" s="11">
        <f t="shared" si="90"/>
        <v>0</v>
      </c>
      <c r="I108" s="37">
        <f t="shared" si="91"/>
        <v>1463.48788</v>
      </c>
      <c r="J108" s="47">
        <f t="shared" si="92"/>
        <v>146.34878799999998</v>
      </c>
      <c r="K108" s="11">
        <f t="shared" si="93"/>
        <v>640</v>
      </c>
      <c r="L108" s="11"/>
      <c r="M108" s="47">
        <v>0</v>
      </c>
      <c r="N108" s="14">
        <f t="shared" si="94"/>
        <v>1273.039148993464</v>
      </c>
      <c r="O108" s="14">
        <f t="shared" si="95"/>
        <v>3522.875816993464</v>
      </c>
      <c r="P108" s="52">
        <f t="shared" si="96"/>
        <v>387.51633986928107</v>
      </c>
      <c r="Q108" s="47">
        <f t="shared" si="97"/>
        <v>105.68627450980392</v>
      </c>
      <c r="R108" s="47">
        <f t="shared" si="97"/>
        <v>105.68627450980392</v>
      </c>
      <c r="S108" s="47">
        <f t="shared" si="98"/>
        <v>70.45751633986929</v>
      </c>
      <c r="T108" s="14">
        <f t="shared" si="99"/>
        <v>158.52941176470588</v>
      </c>
      <c r="U108" s="52">
        <f t="shared" si="100"/>
        <v>827.8758169934641</v>
      </c>
      <c r="V108" s="52">
        <f t="shared" si="106"/>
        <v>1721.12505102</v>
      </c>
      <c r="W108" s="109">
        <f t="shared" si="101"/>
        <v>2695</v>
      </c>
      <c r="X108" s="103">
        <f t="shared" si="102"/>
        <v>255</v>
      </c>
      <c r="Y108" s="103">
        <f t="shared" si="103"/>
        <v>0</v>
      </c>
      <c r="Z108" s="122">
        <f t="shared" si="104"/>
        <v>50</v>
      </c>
      <c r="AA108" s="110">
        <f t="shared" si="105"/>
        <v>3000</v>
      </c>
    </row>
    <row r="109" spans="1:27" ht="12.75">
      <c r="A109" s="16">
        <v>1567</v>
      </c>
      <c r="B109" s="3" t="s">
        <v>43</v>
      </c>
      <c r="C109" s="39">
        <v>570</v>
      </c>
      <c r="D109" s="39">
        <v>240</v>
      </c>
      <c r="E109" s="141"/>
      <c r="F109" s="11">
        <f t="shared" si="89"/>
        <v>887.43414</v>
      </c>
      <c r="G109" s="11">
        <f t="shared" si="90"/>
        <v>373.65648</v>
      </c>
      <c r="H109" s="11">
        <f t="shared" si="90"/>
        <v>0</v>
      </c>
      <c r="I109" s="37">
        <f t="shared" si="91"/>
        <v>1261.09062</v>
      </c>
      <c r="J109" s="47">
        <f t="shared" si="92"/>
        <v>126.109062</v>
      </c>
      <c r="K109" s="11">
        <f t="shared" si="93"/>
        <v>640</v>
      </c>
      <c r="L109" s="11"/>
      <c r="M109" s="47">
        <v>0</v>
      </c>
      <c r="N109" s="14">
        <f t="shared" si="94"/>
        <v>1495.676134993464</v>
      </c>
      <c r="O109" s="14">
        <f t="shared" si="95"/>
        <v>3522.875816993464</v>
      </c>
      <c r="P109" s="52">
        <f t="shared" si="96"/>
        <v>387.51633986928107</v>
      </c>
      <c r="Q109" s="47">
        <f t="shared" si="97"/>
        <v>105.68627450980392</v>
      </c>
      <c r="R109" s="47">
        <f t="shared" si="97"/>
        <v>105.68627450980392</v>
      </c>
      <c r="S109" s="47">
        <f t="shared" si="98"/>
        <v>70.45751633986929</v>
      </c>
      <c r="T109" s="14">
        <f t="shared" si="99"/>
        <v>158.52941176470588</v>
      </c>
      <c r="U109" s="52">
        <f t="shared" si="100"/>
        <v>827.8758169934641</v>
      </c>
      <c r="V109" s="52">
        <f t="shared" si="106"/>
        <v>1550.80775673</v>
      </c>
      <c r="W109" s="109">
        <f t="shared" si="101"/>
        <v>2695</v>
      </c>
      <c r="X109" s="103">
        <f t="shared" si="102"/>
        <v>255</v>
      </c>
      <c r="Y109" s="103">
        <f t="shared" si="103"/>
        <v>0</v>
      </c>
      <c r="Z109" s="122">
        <f t="shared" si="104"/>
        <v>50</v>
      </c>
      <c r="AA109" s="110">
        <f t="shared" si="105"/>
        <v>3000</v>
      </c>
    </row>
    <row r="110" spans="1:27" ht="12.75">
      <c r="A110" s="16">
        <v>1568</v>
      </c>
      <c r="B110" s="97" t="s">
        <v>135</v>
      </c>
      <c r="C110" s="97">
        <v>846</v>
      </c>
      <c r="D110" s="97">
        <v>144</v>
      </c>
      <c r="E110" s="97"/>
      <c r="F110" s="11">
        <f t="shared" si="89"/>
        <v>1317.1390920000001</v>
      </c>
      <c r="G110" s="11">
        <f t="shared" si="90"/>
        <v>224.19388800000002</v>
      </c>
      <c r="H110" s="11">
        <f t="shared" si="90"/>
        <v>0</v>
      </c>
      <c r="I110" s="37">
        <f t="shared" si="91"/>
        <v>1541.3329800000001</v>
      </c>
      <c r="J110" s="47">
        <f t="shared" si="92"/>
        <v>154.13329800000002</v>
      </c>
      <c r="K110" s="11">
        <f t="shared" si="93"/>
        <v>640</v>
      </c>
      <c r="L110" s="11"/>
      <c r="M110" s="47">
        <v>0</v>
      </c>
      <c r="N110" s="14">
        <f t="shared" si="94"/>
        <v>1187.4095389934641</v>
      </c>
      <c r="O110" s="14">
        <f t="shared" si="95"/>
        <v>3522.875816993464</v>
      </c>
      <c r="P110" s="52">
        <f t="shared" si="96"/>
        <v>387.51633986928107</v>
      </c>
      <c r="Q110" s="47">
        <f t="shared" si="97"/>
        <v>105.68627450980392</v>
      </c>
      <c r="R110" s="47">
        <f t="shared" si="97"/>
        <v>105.68627450980392</v>
      </c>
      <c r="S110" s="47">
        <f t="shared" si="98"/>
        <v>70.45751633986929</v>
      </c>
      <c r="T110" s="14">
        <f t="shared" si="99"/>
        <v>158.52941176470588</v>
      </c>
      <c r="U110" s="52">
        <f>SUM(Q110:T110)+P110</f>
        <v>827.8758169934641</v>
      </c>
      <c r="V110" s="52">
        <f>(I110+J110+K110+M110)-((I110+J110+K110+M110)*0.235)</f>
        <v>1786.6317026699999</v>
      </c>
      <c r="W110" s="109">
        <f>O110-U110</f>
        <v>2695</v>
      </c>
      <c r="X110" s="103">
        <f t="shared" si="102"/>
        <v>255</v>
      </c>
      <c r="Y110" s="103">
        <f t="shared" si="103"/>
        <v>0</v>
      </c>
      <c r="Z110" s="122">
        <f t="shared" si="104"/>
        <v>50</v>
      </c>
      <c r="AA110" s="110">
        <f t="shared" si="105"/>
        <v>3000</v>
      </c>
    </row>
    <row r="111" spans="1:27" ht="12.75">
      <c r="A111" s="16">
        <v>1582</v>
      </c>
      <c r="B111" s="3" t="s">
        <v>24</v>
      </c>
      <c r="C111" s="39">
        <v>704</v>
      </c>
      <c r="D111" s="39">
        <v>200</v>
      </c>
      <c r="E111" s="39"/>
      <c r="F111" s="11">
        <f t="shared" si="89"/>
        <v>1096.059008</v>
      </c>
      <c r="G111" s="11">
        <f t="shared" si="90"/>
        <v>311.3804</v>
      </c>
      <c r="H111" s="11">
        <f t="shared" si="90"/>
        <v>0</v>
      </c>
      <c r="I111" s="37">
        <f t="shared" si="91"/>
        <v>1407.439408</v>
      </c>
      <c r="J111" s="47">
        <f t="shared" si="92"/>
        <v>140.7439408</v>
      </c>
      <c r="K111" s="11">
        <f t="shared" si="93"/>
        <v>640</v>
      </c>
      <c r="L111" s="11"/>
      <c r="M111" s="47">
        <v>0</v>
      </c>
      <c r="N111" s="14">
        <f t="shared" si="94"/>
        <v>1334.692468193464</v>
      </c>
      <c r="O111" s="14">
        <f t="shared" si="95"/>
        <v>3522.8758169934645</v>
      </c>
      <c r="P111" s="52">
        <f t="shared" si="96"/>
        <v>387.51633986928107</v>
      </c>
      <c r="Q111" s="47">
        <f t="shared" si="97"/>
        <v>105.68627450980394</v>
      </c>
      <c r="R111" s="47">
        <f t="shared" si="97"/>
        <v>105.68627450980394</v>
      </c>
      <c r="S111" s="47">
        <f t="shared" si="98"/>
        <v>70.45751633986929</v>
      </c>
      <c r="T111" s="14">
        <f t="shared" si="99"/>
        <v>158.52941176470588</v>
      </c>
      <c r="U111" s="52">
        <f t="shared" si="100"/>
        <v>827.8758169934641</v>
      </c>
      <c r="V111" s="52">
        <f t="shared" si="106"/>
        <v>1673.960261832</v>
      </c>
      <c r="W111" s="109">
        <f t="shared" si="101"/>
        <v>2695.0000000000005</v>
      </c>
      <c r="X111" s="103">
        <f t="shared" si="102"/>
        <v>255</v>
      </c>
      <c r="Y111" s="103">
        <f t="shared" si="103"/>
        <v>0</v>
      </c>
      <c r="Z111" s="122">
        <f t="shared" si="104"/>
        <v>50</v>
      </c>
      <c r="AA111" s="110">
        <f t="shared" si="105"/>
        <v>3000.0000000000005</v>
      </c>
    </row>
    <row r="112" spans="1:27" ht="13.5" thickBot="1">
      <c r="A112" s="17">
        <v>1599</v>
      </c>
      <c r="B112" s="6" t="s">
        <v>44</v>
      </c>
      <c r="C112" s="40">
        <v>47</v>
      </c>
      <c r="D112" s="40">
        <v>8</v>
      </c>
      <c r="E112" s="40"/>
      <c r="F112" s="11">
        <f t="shared" si="89"/>
        <v>73.174394</v>
      </c>
      <c r="G112" s="11">
        <f t="shared" si="90"/>
        <v>12.455216</v>
      </c>
      <c r="H112" s="11">
        <f t="shared" si="90"/>
        <v>0</v>
      </c>
      <c r="I112" s="37">
        <f t="shared" si="91"/>
        <v>85.62961000000001</v>
      </c>
      <c r="J112" s="48">
        <f t="shared" si="92"/>
        <v>8.562961000000001</v>
      </c>
      <c r="K112" s="12">
        <f>$D$10/17</f>
        <v>37.64705882352941</v>
      </c>
      <c r="L112" s="12"/>
      <c r="M112" s="48">
        <v>0</v>
      </c>
      <c r="N112" s="15">
        <f>IF(((I112+J112+K112+L112+M112)*15)&lt;$I$11,($I$11/15-(I112+J112+K112+L112+M112)),0)</f>
        <v>103.01837017647057</v>
      </c>
      <c r="O112" s="15">
        <f t="shared" si="95"/>
        <v>234.858</v>
      </c>
      <c r="P112" s="53">
        <f t="shared" si="96"/>
        <v>25.83438</v>
      </c>
      <c r="Q112" s="48">
        <f t="shared" si="97"/>
        <v>7.0457399999999994</v>
      </c>
      <c r="R112" s="48">
        <f t="shared" si="97"/>
        <v>7.0457399999999994</v>
      </c>
      <c r="S112" s="48">
        <f t="shared" si="98"/>
        <v>4.69716</v>
      </c>
      <c r="T112" s="15">
        <f t="shared" si="99"/>
        <v>10.56861</v>
      </c>
      <c r="U112" s="53">
        <f t="shared" si="100"/>
        <v>55.19163</v>
      </c>
      <c r="V112" s="53">
        <f t="shared" si="106"/>
        <v>100.85731681500002</v>
      </c>
      <c r="W112" s="107">
        <f t="shared" si="101"/>
        <v>179.66637</v>
      </c>
      <c r="X112" s="104">
        <f>$D$12/15</f>
        <v>17</v>
      </c>
      <c r="Y112" s="104">
        <f>$I$12/15</f>
        <v>0</v>
      </c>
      <c r="Z112" s="123">
        <f>$D$14/17</f>
        <v>2.9411764705882355</v>
      </c>
      <c r="AA112" s="121">
        <f t="shared" si="105"/>
        <v>199.60754647058823</v>
      </c>
    </row>
    <row r="113" ht="13.5" thickBot="1"/>
    <row r="114" spans="1:27" ht="21" thickBot="1">
      <c r="A114" s="176" t="s">
        <v>98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83"/>
      <c r="Y114" s="83"/>
      <c r="Z114" s="83"/>
      <c r="AA114" s="84"/>
    </row>
    <row r="115" spans="1:27" s="13" customFormat="1" ht="12.75" customHeight="1">
      <c r="A115" s="178" t="s">
        <v>1</v>
      </c>
      <c r="B115" s="180" t="s">
        <v>0</v>
      </c>
      <c r="C115" s="133" t="s">
        <v>2</v>
      </c>
      <c r="D115" s="134"/>
      <c r="E115" s="131"/>
      <c r="F115" s="182" t="s">
        <v>61</v>
      </c>
      <c r="G115" s="182" t="s">
        <v>62</v>
      </c>
      <c r="H115" s="207" t="s">
        <v>142</v>
      </c>
      <c r="I115" s="184" t="s">
        <v>68</v>
      </c>
      <c r="J115" s="184" t="s">
        <v>66</v>
      </c>
      <c r="K115" s="182" t="s">
        <v>132</v>
      </c>
      <c r="L115" s="182" t="s">
        <v>136</v>
      </c>
      <c r="M115" s="184" t="s">
        <v>77</v>
      </c>
      <c r="N115" s="186" t="s">
        <v>118</v>
      </c>
      <c r="O115" s="186" t="s">
        <v>117</v>
      </c>
      <c r="P115" s="188" t="s">
        <v>99</v>
      </c>
      <c r="Q115" s="189"/>
      <c r="R115" s="189"/>
      <c r="S115" s="189"/>
      <c r="T115" s="189"/>
      <c r="U115" s="190" t="s">
        <v>116</v>
      </c>
      <c r="V115" s="190" t="s">
        <v>115</v>
      </c>
      <c r="W115" s="192" t="s">
        <v>114</v>
      </c>
      <c r="X115" s="206" t="s">
        <v>121</v>
      </c>
      <c r="Y115" s="113"/>
      <c r="Z115" s="113"/>
      <c r="AA115" s="206" t="s">
        <v>122</v>
      </c>
    </row>
    <row r="116" spans="1:27" s="13" customFormat="1" ht="78" customHeight="1">
      <c r="A116" s="179"/>
      <c r="B116" s="181"/>
      <c r="C116" s="8" t="s">
        <v>3</v>
      </c>
      <c r="D116" s="8" t="s">
        <v>6</v>
      </c>
      <c r="E116" s="8" t="s">
        <v>141</v>
      </c>
      <c r="F116" s="183"/>
      <c r="G116" s="183"/>
      <c r="H116" s="182"/>
      <c r="I116" s="185"/>
      <c r="J116" s="185"/>
      <c r="K116" s="183"/>
      <c r="L116" s="183"/>
      <c r="M116" s="185"/>
      <c r="N116" s="187"/>
      <c r="O116" s="187"/>
      <c r="P116" s="63" t="s">
        <v>101</v>
      </c>
      <c r="Q116" s="62" t="s">
        <v>102</v>
      </c>
      <c r="R116" s="62" t="s">
        <v>103</v>
      </c>
      <c r="S116" s="64" t="s">
        <v>104</v>
      </c>
      <c r="T116" s="64" t="s">
        <v>105</v>
      </c>
      <c r="U116" s="191"/>
      <c r="V116" s="191"/>
      <c r="W116" s="188"/>
      <c r="X116" s="205"/>
      <c r="Y116" s="125" t="s">
        <v>140</v>
      </c>
      <c r="Z116" s="129" t="s">
        <v>145</v>
      </c>
      <c r="AA116" s="205"/>
    </row>
    <row r="117" spans="1:27" ht="12.75">
      <c r="A117" s="16">
        <v>5014</v>
      </c>
      <c r="B117" s="3" t="s">
        <v>45</v>
      </c>
      <c r="C117" s="39">
        <v>1679</v>
      </c>
      <c r="D117" s="39">
        <v>301</v>
      </c>
      <c r="E117" s="141"/>
      <c r="F117" s="11">
        <f aca="true" t="shared" si="107" ref="F117:F123">C117*$D$9</f>
        <v>2614.038458</v>
      </c>
      <c r="G117" s="11">
        <f aca="true" t="shared" si="108" ref="G117:H123">D117*$D$9</f>
        <v>468.627502</v>
      </c>
      <c r="H117" s="11">
        <f t="shared" si="108"/>
        <v>0</v>
      </c>
      <c r="I117" s="37">
        <f aca="true" t="shared" si="109" ref="I117:I123">G117+F117+H117</f>
        <v>3082.66596</v>
      </c>
      <c r="J117" s="47">
        <f aca="true" t="shared" si="110" ref="J117:J123">I117*0.1</f>
        <v>308.266596</v>
      </c>
      <c r="K117" s="11">
        <f aca="true" t="shared" si="111" ref="K117:K123">$D$10</f>
        <v>640</v>
      </c>
      <c r="L117" s="11">
        <v>519.71</v>
      </c>
      <c r="M117" s="47">
        <v>0</v>
      </c>
      <c r="N117" s="14">
        <f aca="true" t="shared" si="112" ref="N117:N123">IF((I117+J117+K117+L117+M117)-((I117+J117+K117+L117+M117)*0.235)&lt;$D$11,($D$11-((I117+J117+K117+L117+M117)-((I117+J117+K117+L117+M117)*0.235)))/0.765,0)</f>
        <v>0</v>
      </c>
      <c r="O117" s="14">
        <f aca="true" t="shared" si="113" ref="O117:O123">SUM(I117:N117)</f>
        <v>4550.642556</v>
      </c>
      <c r="P117" s="52">
        <f aca="true" t="shared" si="114" ref="P117:P123">$O117*11%</f>
        <v>500.57068116</v>
      </c>
      <c r="Q117" s="47">
        <f aca="true" t="shared" si="115" ref="Q117:R123">$O117*3%</f>
        <v>136.51927668</v>
      </c>
      <c r="R117" s="47">
        <f t="shared" si="115"/>
        <v>136.51927668</v>
      </c>
      <c r="S117" s="47">
        <f aca="true" t="shared" si="116" ref="S117:S123">$O117*2%</f>
        <v>91.01285112</v>
      </c>
      <c r="T117" s="14">
        <f aca="true" t="shared" si="117" ref="T117:T123">$O117*4.5%</f>
        <v>204.77891501999997</v>
      </c>
      <c r="U117" s="52">
        <f aca="true" t="shared" si="118" ref="U117:U123">SUM(Q117:T117)+P117</f>
        <v>1069.40100066</v>
      </c>
      <c r="V117" s="52">
        <f>(I117+J117+K117+L117+M117)-((I117+J117+K117+L117+M117)*0.235)</f>
        <v>3481.2415553399996</v>
      </c>
      <c r="W117" s="109">
        <f aca="true" t="shared" si="119" ref="W117:W123">O117-U117</f>
        <v>3481.2415553399996</v>
      </c>
      <c r="X117" s="103">
        <f aca="true" t="shared" si="120" ref="X117:X123">$D$12</f>
        <v>255</v>
      </c>
      <c r="Y117" s="103">
        <f aca="true" t="shared" si="121" ref="Y117:Y123">$I$12</f>
        <v>0</v>
      </c>
      <c r="Z117" s="122">
        <f aca="true" t="shared" si="122" ref="Z117:Z123">$D$14</f>
        <v>50</v>
      </c>
      <c r="AA117" s="110">
        <f aca="true" t="shared" si="123" ref="AA117:AA123">W117+X117+Y117+Z117</f>
        <v>3786.2415553399996</v>
      </c>
    </row>
    <row r="118" spans="1:27" ht="12.75">
      <c r="A118" s="16">
        <v>5013</v>
      </c>
      <c r="B118" s="3" t="s">
        <v>75</v>
      </c>
      <c r="C118" s="39">
        <v>1679</v>
      </c>
      <c r="D118" s="39">
        <v>301</v>
      </c>
      <c r="E118" s="39"/>
      <c r="F118" s="11">
        <f t="shared" si="107"/>
        <v>2614.038458</v>
      </c>
      <c r="G118" s="11">
        <f t="shared" si="108"/>
        <v>468.627502</v>
      </c>
      <c r="H118" s="11">
        <f t="shared" si="108"/>
        <v>0</v>
      </c>
      <c r="I118" s="37">
        <f t="shared" si="109"/>
        <v>3082.66596</v>
      </c>
      <c r="J118" s="47">
        <f t="shared" si="110"/>
        <v>308.266596</v>
      </c>
      <c r="K118" s="11">
        <f t="shared" si="111"/>
        <v>640</v>
      </c>
      <c r="L118" s="11"/>
      <c r="M118" s="47">
        <v>0</v>
      </c>
      <c r="N118" s="14">
        <f t="shared" si="112"/>
        <v>0</v>
      </c>
      <c r="O118" s="14">
        <f t="shared" si="113"/>
        <v>4030.9325559999997</v>
      </c>
      <c r="P118" s="52">
        <f t="shared" si="114"/>
        <v>443.40258115999995</v>
      </c>
      <c r="Q118" s="47">
        <f t="shared" si="115"/>
        <v>120.92797667999999</v>
      </c>
      <c r="R118" s="47">
        <f t="shared" si="115"/>
        <v>120.92797667999999</v>
      </c>
      <c r="S118" s="47">
        <f t="shared" si="116"/>
        <v>80.61865112</v>
      </c>
      <c r="T118" s="14">
        <f t="shared" si="117"/>
        <v>181.39196502</v>
      </c>
      <c r="U118" s="52">
        <f t="shared" si="118"/>
        <v>947.2691506599999</v>
      </c>
      <c r="V118" s="52">
        <f aca="true" t="shared" si="124" ref="V118:V123">(I118+J118+K118+M118)-((I118+J118+K118+M118)*0.235)</f>
        <v>3083.66340534</v>
      </c>
      <c r="W118" s="109">
        <f t="shared" si="119"/>
        <v>3083.66340534</v>
      </c>
      <c r="X118" s="103">
        <f t="shared" si="120"/>
        <v>255</v>
      </c>
      <c r="Y118" s="103">
        <f t="shared" si="121"/>
        <v>0</v>
      </c>
      <c r="Z118" s="122">
        <f t="shared" si="122"/>
        <v>50</v>
      </c>
      <c r="AA118" s="110">
        <f t="shared" si="123"/>
        <v>3388.66340534</v>
      </c>
    </row>
    <row r="119" spans="1:27" ht="12.75">
      <c r="A119" s="16">
        <v>5033</v>
      </c>
      <c r="B119" s="3" t="s">
        <v>46</v>
      </c>
      <c r="C119" s="39">
        <v>753</v>
      </c>
      <c r="D119" s="39">
        <v>327</v>
      </c>
      <c r="E119" s="39"/>
      <c r="F119" s="11">
        <f t="shared" si="107"/>
        <v>1172.347206</v>
      </c>
      <c r="G119" s="11">
        <f t="shared" si="108"/>
        <v>509.10695400000003</v>
      </c>
      <c r="H119" s="11">
        <f t="shared" si="108"/>
        <v>0</v>
      </c>
      <c r="I119" s="37">
        <f t="shared" si="109"/>
        <v>1681.45416</v>
      </c>
      <c r="J119" s="47">
        <f t="shared" si="110"/>
        <v>168.145416</v>
      </c>
      <c r="K119" s="11">
        <f t="shared" si="111"/>
        <v>640</v>
      </c>
      <c r="L119" s="11"/>
      <c r="M119" s="47">
        <v>0</v>
      </c>
      <c r="N119" s="14">
        <f t="shared" si="112"/>
        <v>1033.2762409934642</v>
      </c>
      <c r="O119" s="14">
        <f t="shared" si="113"/>
        <v>3522.8758169934645</v>
      </c>
      <c r="P119" s="52">
        <f t="shared" si="114"/>
        <v>387.51633986928107</v>
      </c>
      <c r="Q119" s="47">
        <f t="shared" si="115"/>
        <v>105.68627450980394</v>
      </c>
      <c r="R119" s="47">
        <f t="shared" si="115"/>
        <v>105.68627450980394</v>
      </c>
      <c r="S119" s="47">
        <f t="shared" si="116"/>
        <v>70.45751633986929</v>
      </c>
      <c r="T119" s="14">
        <f t="shared" si="117"/>
        <v>158.52941176470588</v>
      </c>
      <c r="U119" s="52">
        <f t="shared" si="118"/>
        <v>827.8758169934641</v>
      </c>
      <c r="V119" s="52">
        <f t="shared" si="124"/>
        <v>1904.54367564</v>
      </c>
      <c r="W119" s="109">
        <f t="shared" si="119"/>
        <v>2695.0000000000005</v>
      </c>
      <c r="X119" s="103">
        <f t="shared" si="120"/>
        <v>255</v>
      </c>
      <c r="Y119" s="103">
        <f t="shared" si="121"/>
        <v>0</v>
      </c>
      <c r="Z119" s="122">
        <f t="shared" si="122"/>
        <v>50</v>
      </c>
      <c r="AA119" s="110">
        <f t="shared" si="123"/>
        <v>3000.0000000000005</v>
      </c>
    </row>
    <row r="120" spans="1:27" ht="12.75">
      <c r="A120" s="16">
        <v>5029</v>
      </c>
      <c r="B120" s="3" t="s">
        <v>47</v>
      </c>
      <c r="C120" s="39">
        <v>753</v>
      </c>
      <c r="D120" s="39">
        <v>231</v>
      </c>
      <c r="E120" s="39">
        <v>6</v>
      </c>
      <c r="F120" s="11">
        <f t="shared" si="107"/>
        <v>1172.347206</v>
      </c>
      <c r="G120" s="11">
        <f t="shared" si="108"/>
        <v>359.644362</v>
      </c>
      <c r="H120" s="11">
        <f t="shared" si="108"/>
        <v>9.341412</v>
      </c>
      <c r="I120" s="37">
        <f t="shared" si="109"/>
        <v>1541.33298</v>
      </c>
      <c r="J120" s="47">
        <f t="shared" si="110"/>
        <v>154.133298</v>
      </c>
      <c r="K120" s="11">
        <f t="shared" si="111"/>
        <v>640</v>
      </c>
      <c r="L120" s="11"/>
      <c r="M120" s="47">
        <v>0</v>
      </c>
      <c r="N120" s="14">
        <f t="shared" si="112"/>
        <v>1187.4095389934641</v>
      </c>
      <c r="O120" s="14">
        <f t="shared" si="113"/>
        <v>3522.875816993464</v>
      </c>
      <c r="P120" s="52">
        <f t="shared" si="114"/>
        <v>387.51633986928107</v>
      </c>
      <c r="Q120" s="47">
        <f t="shared" si="115"/>
        <v>105.68627450980392</v>
      </c>
      <c r="R120" s="47">
        <f t="shared" si="115"/>
        <v>105.68627450980392</v>
      </c>
      <c r="S120" s="47">
        <f t="shared" si="116"/>
        <v>70.45751633986929</v>
      </c>
      <c r="T120" s="14">
        <f t="shared" si="117"/>
        <v>158.52941176470588</v>
      </c>
      <c r="U120" s="52">
        <f t="shared" si="118"/>
        <v>827.8758169934641</v>
      </c>
      <c r="V120" s="52">
        <f t="shared" si="124"/>
        <v>1786.6317026699999</v>
      </c>
      <c r="W120" s="109">
        <f t="shared" si="119"/>
        <v>2695</v>
      </c>
      <c r="X120" s="103">
        <f t="shared" si="120"/>
        <v>255</v>
      </c>
      <c r="Y120" s="103">
        <f t="shared" si="121"/>
        <v>0</v>
      </c>
      <c r="Z120" s="122">
        <f t="shared" si="122"/>
        <v>50</v>
      </c>
      <c r="AA120" s="110">
        <f t="shared" si="123"/>
        <v>3000</v>
      </c>
    </row>
    <row r="121" spans="1:27" ht="12.75">
      <c r="A121" s="16">
        <v>5028</v>
      </c>
      <c r="B121" s="3" t="s">
        <v>48</v>
      </c>
      <c r="C121" s="39">
        <v>800</v>
      </c>
      <c r="D121" s="39">
        <v>280</v>
      </c>
      <c r="E121" s="39"/>
      <c r="F121" s="11">
        <f t="shared" si="107"/>
        <v>1245.5216</v>
      </c>
      <c r="G121" s="11">
        <f t="shared" si="108"/>
        <v>435.93256</v>
      </c>
      <c r="H121" s="11">
        <f t="shared" si="108"/>
        <v>0</v>
      </c>
      <c r="I121" s="37">
        <f t="shared" si="109"/>
        <v>1681.45416</v>
      </c>
      <c r="J121" s="47">
        <f t="shared" si="110"/>
        <v>168.145416</v>
      </c>
      <c r="K121" s="11">
        <f t="shared" si="111"/>
        <v>640</v>
      </c>
      <c r="L121" s="11"/>
      <c r="M121" s="47">
        <v>0</v>
      </c>
      <c r="N121" s="14">
        <f t="shared" si="112"/>
        <v>1033.2762409934642</v>
      </c>
      <c r="O121" s="14">
        <f t="shared" si="113"/>
        <v>3522.8758169934645</v>
      </c>
      <c r="P121" s="52">
        <f t="shared" si="114"/>
        <v>387.51633986928107</v>
      </c>
      <c r="Q121" s="47">
        <f t="shared" si="115"/>
        <v>105.68627450980394</v>
      </c>
      <c r="R121" s="47">
        <f t="shared" si="115"/>
        <v>105.68627450980394</v>
      </c>
      <c r="S121" s="47">
        <f t="shared" si="116"/>
        <v>70.45751633986929</v>
      </c>
      <c r="T121" s="14">
        <f t="shared" si="117"/>
        <v>158.52941176470588</v>
      </c>
      <c r="U121" s="52">
        <f t="shared" si="118"/>
        <v>827.8758169934641</v>
      </c>
      <c r="V121" s="52">
        <f t="shared" si="124"/>
        <v>1904.54367564</v>
      </c>
      <c r="W121" s="109">
        <f t="shared" si="119"/>
        <v>2695.0000000000005</v>
      </c>
      <c r="X121" s="103">
        <f t="shared" si="120"/>
        <v>255</v>
      </c>
      <c r="Y121" s="103">
        <f t="shared" si="121"/>
        <v>0</v>
      </c>
      <c r="Z121" s="122">
        <f t="shared" si="122"/>
        <v>50</v>
      </c>
      <c r="AA121" s="110">
        <f t="shared" si="123"/>
        <v>3000.0000000000005</v>
      </c>
    </row>
    <row r="122" spans="1:27" ht="12.75">
      <c r="A122" s="16">
        <v>5035</v>
      </c>
      <c r="B122" s="3" t="s">
        <v>49</v>
      </c>
      <c r="C122" s="39">
        <v>704</v>
      </c>
      <c r="D122" s="39">
        <v>208</v>
      </c>
      <c r="E122" s="39"/>
      <c r="F122" s="11">
        <f t="shared" si="107"/>
        <v>1096.059008</v>
      </c>
      <c r="G122" s="11">
        <f t="shared" si="108"/>
        <v>323.835616</v>
      </c>
      <c r="H122" s="11">
        <f t="shared" si="108"/>
        <v>0</v>
      </c>
      <c r="I122" s="37">
        <f t="shared" si="109"/>
        <v>1419.894624</v>
      </c>
      <c r="J122" s="47">
        <f t="shared" si="110"/>
        <v>141.9894624</v>
      </c>
      <c r="K122" s="11">
        <f t="shared" si="111"/>
        <v>640</v>
      </c>
      <c r="L122" s="11"/>
      <c r="M122" s="47">
        <v>0</v>
      </c>
      <c r="N122" s="14">
        <f t="shared" si="112"/>
        <v>1320.9917305934637</v>
      </c>
      <c r="O122" s="14">
        <f t="shared" si="113"/>
        <v>3522.875816993464</v>
      </c>
      <c r="P122" s="52">
        <f t="shared" si="114"/>
        <v>387.51633986928107</v>
      </c>
      <c r="Q122" s="47">
        <f t="shared" si="115"/>
        <v>105.68627450980392</v>
      </c>
      <c r="R122" s="47">
        <f t="shared" si="115"/>
        <v>105.68627450980392</v>
      </c>
      <c r="S122" s="47">
        <f t="shared" si="116"/>
        <v>70.45751633986929</v>
      </c>
      <c r="T122" s="14">
        <f t="shared" si="117"/>
        <v>158.52941176470588</v>
      </c>
      <c r="U122" s="52">
        <f t="shared" si="118"/>
        <v>827.8758169934641</v>
      </c>
      <c r="V122" s="52">
        <f t="shared" si="124"/>
        <v>1684.4413260960002</v>
      </c>
      <c r="W122" s="109">
        <f t="shared" si="119"/>
        <v>2695</v>
      </c>
      <c r="X122" s="103">
        <f t="shared" si="120"/>
        <v>255</v>
      </c>
      <c r="Y122" s="103">
        <f t="shared" si="121"/>
        <v>0</v>
      </c>
      <c r="Z122" s="122">
        <f t="shared" si="122"/>
        <v>50</v>
      </c>
      <c r="AA122" s="110">
        <f t="shared" si="123"/>
        <v>3000</v>
      </c>
    </row>
    <row r="123" spans="1:27" ht="13.5" thickBot="1">
      <c r="A123" s="17">
        <v>5051</v>
      </c>
      <c r="B123" s="6" t="s">
        <v>50</v>
      </c>
      <c r="C123" s="40">
        <v>564</v>
      </c>
      <c r="D123" s="40">
        <v>300</v>
      </c>
      <c r="E123" s="40"/>
      <c r="F123" s="12">
        <f t="shared" si="107"/>
        <v>878.092728</v>
      </c>
      <c r="G123" s="12">
        <f t="shared" si="108"/>
        <v>467.0706</v>
      </c>
      <c r="H123" s="11">
        <f t="shared" si="108"/>
        <v>0</v>
      </c>
      <c r="I123" s="37">
        <f t="shared" si="109"/>
        <v>1345.163328</v>
      </c>
      <c r="J123" s="48">
        <f t="shared" si="110"/>
        <v>134.51633280000001</v>
      </c>
      <c r="K123" s="12">
        <f t="shared" si="111"/>
        <v>640</v>
      </c>
      <c r="L123" s="12"/>
      <c r="M123" s="48">
        <v>0</v>
      </c>
      <c r="N123" s="15">
        <f t="shared" si="112"/>
        <v>1403.1961561934634</v>
      </c>
      <c r="O123" s="15">
        <f t="shared" si="113"/>
        <v>3522.8758169934636</v>
      </c>
      <c r="P123" s="53">
        <f t="shared" si="114"/>
        <v>387.516339869281</v>
      </c>
      <c r="Q123" s="48">
        <f t="shared" si="115"/>
        <v>105.68627450980391</v>
      </c>
      <c r="R123" s="48">
        <f t="shared" si="115"/>
        <v>105.68627450980391</v>
      </c>
      <c r="S123" s="48">
        <f t="shared" si="116"/>
        <v>70.45751633986927</v>
      </c>
      <c r="T123" s="15">
        <f t="shared" si="117"/>
        <v>158.52941176470586</v>
      </c>
      <c r="U123" s="53">
        <f t="shared" si="118"/>
        <v>827.875816993464</v>
      </c>
      <c r="V123" s="53">
        <f t="shared" si="124"/>
        <v>1621.5549405120005</v>
      </c>
      <c r="W123" s="107">
        <f t="shared" si="119"/>
        <v>2694.9999999999995</v>
      </c>
      <c r="X123" s="104">
        <f t="shared" si="120"/>
        <v>255</v>
      </c>
      <c r="Y123" s="103">
        <f t="shared" si="121"/>
        <v>0</v>
      </c>
      <c r="Z123" s="123">
        <f t="shared" si="122"/>
        <v>50</v>
      </c>
      <c r="AA123" s="121">
        <f t="shared" si="123"/>
        <v>2999.9999999999995</v>
      </c>
    </row>
    <row r="124" ht="13.5" thickBot="1"/>
    <row r="125" spans="1:27" ht="21" thickBot="1">
      <c r="A125" s="176" t="s">
        <v>51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83"/>
      <c r="Y125" s="83"/>
      <c r="Z125" s="83"/>
      <c r="AA125" s="84"/>
    </row>
    <row r="126" spans="1:27" s="13" customFormat="1" ht="12.75" customHeight="1">
      <c r="A126" s="178" t="s">
        <v>1</v>
      </c>
      <c r="B126" s="180" t="s">
        <v>0</v>
      </c>
      <c r="C126" s="223" t="s">
        <v>2</v>
      </c>
      <c r="D126" s="224"/>
      <c r="E126" s="225"/>
      <c r="F126" s="182" t="s">
        <v>61</v>
      </c>
      <c r="G126" s="182" t="s">
        <v>62</v>
      </c>
      <c r="H126" s="207" t="s">
        <v>142</v>
      </c>
      <c r="I126" s="184" t="s">
        <v>68</v>
      </c>
      <c r="J126" s="184" t="s">
        <v>66</v>
      </c>
      <c r="K126" s="182" t="s">
        <v>132</v>
      </c>
      <c r="L126" s="182" t="s">
        <v>136</v>
      </c>
      <c r="M126" s="184" t="s">
        <v>77</v>
      </c>
      <c r="N126" s="186" t="s">
        <v>118</v>
      </c>
      <c r="O126" s="186" t="s">
        <v>117</v>
      </c>
      <c r="P126" s="188" t="s">
        <v>99</v>
      </c>
      <c r="Q126" s="189"/>
      <c r="R126" s="189"/>
      <c r="S126" s="189"/>
      <c r="T126" s="189"/>
      <c r="U126" s="190" t="s">
        <v>116</v>
      </c>
      <c r="V126" s="190" t="s">
        <v>115</v>
      </c>
      <c r="W126" s="192" t="s">
        <v>114</v>
      </c>
      <c r="X126" s="206" t="s">
        <v>121</v>
      </c>
      <c r="Y126" s="114"/>
      <c r="Z126" s="114"/>
      <c r="AA126" s="206" t="s">
        <v>122</v>
      </c>
    </row>
    <row r="127" spans="1:27" s="13" customFormat="1" ht="78" customHeight="1">
      <c r="A127" s="179"/>
      <c r="B127" s="181"/>
      <c r="C127" s="8" t="s">
        <v>3</v>
      </c>
      <c r="D127" s="8" t="s">
        <v>6</v>
      </c>
      <c r="E127" s="8" t="s">
        <v>141</v>
      </c>
      <c r="F127" s="183"/>
      <c r="G127" s="183"/>
      <c r="H127" s="182"/>
      <c r="I127" s="185"/>
      <c r="J127" s="185"/>
      <c r="K127" s="183"/>
      <c r="L127" s="183"/>
      <c r="M127" s="185"/>
      <c r="N127" s="187"/>
      <c r="O127" s="187"/>
      <c r="P127" s="63" t="s">
        <v>101</v>
      </c>
      <c r="Q127" s="62" t="s">
        <v>102</v>
      </c>
      <c r="R127" s="62" t="s">
        <v>103</v>
      </c>
      <c r="S127" s="64" t="s">
        <v>104</v>
      </c>
      <c r="T127" s="64" t="s">
        <v>105</v>
      </c>
      <c r="U127" s="191"/>
      <c r="V127" s="191"/>
      <c r="W127" s="188"/>
      <c r="X127" s="205"/>
      <c r="Y127" s="125" t="s">
        <v>140</v>
      </c>
      <c r="Z127" s="129" t="s">
        <v>145</v>
      </c>
      <c r="AA127" s="205"/>
    </row>
    <row r="128" spans="1:27" ht="12.75">
      <c r="A128" s="18">
        <v>5080</v>
      </c>
      <c r="B128" s="4" t="s">
        <v>36</v>
      </c>
      <c r="C128" s="43">
        <v>2100</v>
      </c>
      <c r="D128" s="43">
        <v>326</v>
      </c>
      <c r="E128" s="43">
        <v>121</v>
      </c>
      <c r="F128" s="11">
        <f>C128*$D$9</f>
        <v>3269.4942</v>
      </c>
      <c r="G128" s="11">
        <f aca="true" t="shared" si="125" ref="G128:H137">D128*$D$9</f>
        <v>507.550052</v>
      </c>
      <c r="H128" s="11">
        <f t="shared" si="125"/>
        <v>188.385142</v>
      </c>
      <c r="I128" s="37">
        <f aca="true" t="shared" si="126" ref="I128:I137">G128+F128+H128</f>
        <v>3965.4293940000002</v>
      </c>
      <c r="J128" s="47">
        <f aca="true" t="shared" si="127" ref="J128:J137">I128*0.1</f>
        <v>396.5429394</v>
      </c>
      <c r="K128" s="11">
        <f>$D$10*2</f>
        <v>1280</v>
      </c>
      <c r="L128" s="11">
        <v>276.51</v>
      </c>
      <c r="M128" s="47">
        <v>0</v>
      </c>
      <c r="N128" s="14">
        <f>IF((I128+J128+K128+L128+M128)-((I128+J128+K128+L128+M128)*0.235)&lt;$D$11*2,($D$11*2-((I128+J128+K128+L128+M128)-((I128+J128+K128+L128+M128)*0.235)))/0.765,0)</f>
        <v>1127.2693005869276</v>
      </c>
      <c r="O128" s="14">
        <f aca="true" t="shared" si="128" ref="O128:O137">SUM(I128:N128)</f>
        <v>7045.751633986928</v>
      </c>
      <c r="P128" s="52">
        <f aca="true" t="shared" si="129" ref="P128:P137">$O128*11%</f>
        <v>775.0326797385621</v>
      </c>
      <c r="Q128" s="47">
        <f aca="true" t="shared" si="130" ref="Q128:R137">$O128*3%</f>
        <v>211.37254901960785</v>
      </c>
      <c r="R128" s="47">
        <f t="shared" si="130"/>
        <v>211.37254901960785</v>
      </c>
      <c r="S128" s="47">
        <f aca="true" t="shared" si="131" ref="S128:S137">$O128*2%</f>
        <v>140.91503267973857</v>
      </c>
      <c r="T128" s="14">
        <f aca="true" t="shared" si="132" ref="T128:T137">$O128*4.5%</f>
        <v>317.05882352941177</v>
      </c>
      <c r="U128" s="52">
        <f aca="true" t="shared" si="133" ref="U128:U137">SUM(Q128:T128)+P128</f>
        <v>1655.7516339869283</v>
      </c>
      <c r="V128" s="52">
        <f>(I128+J128+K128+L128+M128)-((I128+J128+K128+L128+M128)*0.235)</f>
        <v>4527.638985051</v>
      </c>
      <c r="W128" s="109">
        <f aca="true" t="shared" si="134" ref="W128:W137">O128-U128</f>
        <v>5390</v>
      </c>
      <c r="X128" s="103">
        <f>$D$12*2</f>
        <v>510</v>
      </c>
      <c r="Y128" s="103">
        <f>$I$12*2</f>
        <v>0</v>
      </c>
      <c r="Z128" s="117">
        <f>$D$14*2</f>
        <v>100</v>
      </c>
      <c r="AA128" s="110">
        <f aca="true" t="shared" si="135" ref="AA128:AA137">W128+X128+Y128+Z128</f>
        <v>6000</v>
      </c>
    </row>
    <row r="129" spans="1:27" ht="12.75">
      <c r="A129" s="18">
        <v>5081</v>
      </c>
      <c r="B129" s="4" t="s">
        <v>112</v>
      </c>
      <c r="C129" s="43">
        <v>1763</v>
      </c>
      <c r="D129" s="43">
        <v>436</v>
      </c>
      <c r="E129" s="43">
        <v>110</v>
      </c>
      <c r="F129" s="11">
        <f aca="true" t="shared" si="136" ref="F129:F137">C129*$D$9</f>
        <v>2744.818226</v>
      </c>
      <c r="G129" s="11">
        <f aca="true" t="shared" si="137" ref="G129:G137">D129*$D$9</f>
        <v>678.809272</v>
      </c>
      <c r="H129" s="11">
        <f t="shared" si="125"/>
        <v>171.25922</v>
      </c>
      <c r="I129" s="37">
        <f t="shared" si="126"/>
        <v>3594.8867179999997</v>
      </c>
      <c r="J129" s="47">
        <f t="shared" si="127"/>
        <v>359.4886718</v>
      </c>
      <c r="K129" s="11">
        <f>$D$10*2</f>
        <v>1280</v>
      </c>
      <c r="L129" s="11">
        <v>163.62</v>
      </c>
      <c r="M129" s="47">
        <v>0</v>
      </c>
      <c r="N129" s="14">
        <f>IF((I129+J129+K129+L129+M129)-((I129+J129+K129+L129+M129)*0.235)&lt;$D$11*2,($D$11*2-((I129+J129+K129+L129+M129)-((I129+J129+K129+L129+M129)*0.235)))/0.765,0)</f>
        <v>1647.7562441869286</v>
      </c>
      <c r="O129" s="14">
        <f t="shared" si="128"/>
        <v>7045.751633986928</v>
      </c>
      <c r="P129" s="52">
        <f t="shared" si="129"/>
        <v>775.0326797385621</v>
      </c>
      <c r="Q129" s="47">
        <f t="shared" si="130"/>
        <v>211.37254901960785</v>
      </c>
      <c r="R129" s="47">
        <f t="shared" si="130"/>
        <v>211.37254901960785</v>
      </c>
      <c r="S129" s="47">
        <f t="shared" si="131"/>
        <v>140.91503267973857</v>
      </c>
      <c r="T129" s="14">
        <f t="shared" si="132"/>
        <v>317.05882352941177</v>
      </c>
      <c r="U129" s="52">
        <f t="shared" si="133"/>
        <v>1655.7516339869283</v>
      </c>
      <c r="V129" s="52">
        <f>(I129+J129+K129+L129+M129)-((I129+J129+K129+L129+M129)*0.235)</f>
        <v>4129.466473197</v>
      </c>
      <c r="W129" s="109">
        <f t="shared" si="134"/>
        <v>5390</v>
      </c>
      <c r="X129" s="103">
        <f>$D$12*2</f>
        <v>510</v>
      </c>
      <c r="Y129" s="103">
        <f>$I$12*2</f>
        <v>0</v>
      </c>
      <c r="Z129" s="117">
        <f>$D$14*2</f>
        <v>100</v>
      </c>
      <c r="AA129" s="110">
        <f t="shared" si="135"/>
        <v>6000</v>
      </c>
    </row>
    <row r="130" spans="1:27" ht="12.75">
      <c r="A130" s="18">
        <v>1503</v>
      </c>
      <c r="B130" s="4" t="s">
        <v>109</v>
      </c>
      <c r="C130" s="43">
        <v>1692</v>
      </c>
      <c r="D130" s="43">
        <v>216</v>
      </c>
      <c r="E130" s="43"/>
      <c r="F130" s="11">
        <f t="shared" si="136"/>
        <v>2634.2781840000002</v>
      </c>
      <c r="G130" s="11">
        <f t="shared" si="137"/>
        <v>336.290832</v>
      </c>
      <c r="H130" s="11">
        <f t="shared" si="125"/>
        <v>0</v>
      </c>
      <c r="I130" s="37">
        <f t="shared" si="126"/>
        <v>2970.5690160000004</v>
      </c>
      <c r="J130" s="47">
        <f t="shared" si="127"/>
        <v>297.05690160000006</v>
      </c>
      <c r="K130" s="11">
        <f>$D$10*2</f>
        <v>1280</v>
      </c>
      <c r="L130" s="11"/>
      <c r="M130" s="47">
        <v>0</v>
      </c>
      <c r="N130" s="14">
        <f>IF((I130+J130+K130+L130+M130)-((I130+J130+K130+L130+M130)*0.235)&lt;$D$11*2,($D$11*2-((I130+J130+K130+L130+M130)-((I130+J130+K130+L130+M130)*0.235)))/0.765,0)</f>
        <v>2498.1257163869277</v>
      </c>
      <c r="O130" s="14">
        <f t="shared" si="128"/>
        <v>7045.751633986928</v>
      </c>
      <c r="P130" s="52">
        <f t="shared" si="129"/>
        <v>775.0326797385621</v>
      </c>
      <c r="Q130" s="47">
        <f t="shared" si="130"/>
        <v>211.37254901960785</v>
      </c>
      <c r="R130" s="47">
        <f t="shared" si="130"/>
        <v>211.37254901960785</v>
      </c>
      <c r="S130" s="47">
        <f t="shared" si="131"/>
        <v>140.91503267973857</v>
      </c>
      <c r="T130" s="14">
        <f t="shared" si="132"/>
        <v>317.05882352941177</v>
      </c>
      <c r="U130" s="52">
        <f t="shared" si="133"/>
        <v>1655.7516339869283</v>
      </c>
      <c r="V130" s="52">
        <f aca="true" t="shared" si="138" ref="V130:V137">(I130+J130+K130+M130)-((I130+J130+K130+M130)*0.235)</f>
        <v>3478.933826964</v>
      </c>
      <c r="W130" s="109">
        <f t="shared" si="134"/>
        <v>5390</v>
      </c>
      <c r="X130" s="103">
        <f>$D$12*2</f>
        <v>510</v>
      </c>
      <c r="Y130" s="103">
        <f>$I$12*2</f>
        <v>0</v>
      </c>
      <c r="Z130" s="117">
        <f>$D$14*2</f>
        <v>100</v>
      </c>
      <c r="AA130" s="110">
        <f t="shared" si="135"/>
        <v>6000</v>
      </c>
    </row>
    <row r="131" spans="1:27" ht="12.75">
      <c r="A131" s="19">
        <v>5089</v>
      </c>
      <c r="B131" s="5" t="s">
        <v>110</v>
      </c>
      <c r="C131" s="44">
        <v>846</v>
      </c>
      <c r="D131" s="44">
        <v>144</v>
      </c>
      <c r="E131" s="44"/>
      <c r="F131" s="11">
        <f t="shared" si="136"/>
        <v>1317.1390920000001</v>
      </c>
      <c r="G131" s="11">
        <f t="shared" si="137"/>
        <v>224.19388800000002</v>
      </c>
      <c r="H131" s="11">
        <f t="shared" si="125"/>
        <v>0</v>
      </c>
      <c r="I131" s="37">
        <f t="shared" si="126"/>
        <v>1541.3329800000001</v>
      </c>
      <c r="J131" s="47">
        <f t="shared" si="127"/>
        <v>154.13329800000002</v>
      </c>
      <c r="K131" s="112">
        <f>$D$10</f>
        <v>640</v>
      </c>
      <c r="L131" s="112"/>
      <c r="M131" s="47">
        <v>0</v>
      </c>
      <c r="N131" s="14">
        <f>IF((I131+J131+K131+L131+M131)-((I131+J131+K131+L131+M131)*0.235)&lt;$D$11,($D$11-((I131+J131+K131+L131+M131)-((I131+J131+K131+L131+M131)*0.235)))/0.765,0)</f>
        <v>1187.4095389934641</v>
      </c>
      <c r="O131" s="14">
        <f t="shared" si="128"/>
        <v>3522.875816993464</v>
      </c>
      <c r="P131" s="52">
        <f t="shared" si="129"/>
        <v>387.51633986928107</v>
      </c>
      <c r="Q131" s="47">
        <f t="shared" si="130"/>
        <v>105.68627450980392</v>
      </c>
      <c r="R131" s="47">
        <f t="shared" si="130"/>
        <v>105.68627450980392</v>
      </c>
      <c r="S131" s="47">
        <f t="shared" si="131"/>
        <v>70.45751633986929</v>
      </c>
      <c r="T131" s="14">
        <f t="shared" si="132"/>
        <v>158.52941176470588</v>
      </c>
      <c r="U131" s="52">
        <f t="shared" si="133"/>
        <v>827.8758169934641</v>
      </c>
      <c r="V131" s="52">
        <f t="shared" si="138"/>
        <v>1786.6317026699999</v>
      </c>
      <c r="W131" s="109">
        <f t="shared" si="134"/>
        <v>2695</v>
      </c>
      <c r="X131" s="103">
        <f>$D$12</f>
        <v>255</v>
      </c>
      <c r="Y131" s="103">
        <f>$I$12</f>
        <v>0</v>
      </c>
      <c r="Z131" s="116">
        <f>$D$14</f>
        <v>50</v>
      </c>
      <c r="AA131" s="110">
        <f t="shared" si="135"/>
        <v>3000</v>
      </c>
    </row>
    <row r="132" spans="1:27" ht="12.75">
      <c r="A132" s="19">
        <v>5088</v>
      </c>
      <c r="B132" s="5" t="s">
        <v>111</v>
      </c>
      <c r="C132" s="44">
        <v>695</v>
      </c>
      <c r="D132" s="44">
        <v>128</v>
      </c>
      <c r="E132" s="44"/>
      <c r="F132" s="11">
        <f t="shared" si="136"/>
        <v>1082.04689</v>
      </c>
      <c r="G132" s="11">
        <f t="shared" si="137"/>
        <v>199.283456</v>
      </c>
      <c r="H132" s="11">
        <f t="shared" si="125"/>
        <v>0</v>
      </c>
      <c r="I132" s="37">
        <f t="shared" si="126"/>
        <v>1281.3303460000002</v>
      </c>
      <c r="J132" s="47">
        <f t="shared" si="127"/>
        <v>128.13303460000003</v>
      </c>
      <c r="K132" s="112">
        <f>$D$10</f>
        <v>640</v>
      </c>
      <c r="L132" s="112"/>
      <c r="M132" s="47">
        <v>0</v>
      </c>
      <c r="N132" s="14">
        <f>IF((I132+J132+K132+L132+M132)-((I132+J132+K132+L132+M132)*0.235)&lt;$D$11,($D$11-((I132+J132+K132+L132+M132)-((I132+J132+K132+L132+M132)*0.235)))/0.765,0)</f>
        <v>1473.4124363934638</v>
      </c>
      <c r="O132" s="14">
        <f t="shared" si="128"/>
        <v>3522.875816993464</v>
      </c>
      <c r="P132" s="52">
        <f t="shared" si="129"/>
        <v>387.51633986928107</v>
      </c>
      <c r="Q132" s="47">
        <f t="shared" si="130"/>
        <v>105.68627450980392</v>
      </c>
      <c r="R132" s="47">
        <f t="shared" si="130"/>
        <v>105.68627450980392</v>
      </c>
      <c r="S132" s="47">
        <f t="shared" si="131"/>
        <v>70.45751633986929</v>
      </c>
      <c r="T132" s="14">
        <f t="shared" si="132"/>
        <v>158.52941176470588</v>
      </c>
      <c r="U132" s="52">
        <f t="shared" si="133"/>
        <v>827.8758169934641</v>
      </c>
      <c r="V132" s="52">
        <f t="shared" si="138"/>
        <v>1567.8394861590002</v>
      </c>
      <c r="W132" s="109">
        <f t="shared" si="134"/>
        <v>2695</v>
      </c>
      <c r="X132" s="103">
        <f>$D$12</f>
        <v>255</v>
      </c>
      <c r="Y132" s="103">
        <f>$I$12</f>
        <v>0</v>
      </c>
      <c r="Z132" s="116">
        <f>$D$14</f>
        <v>50</v>
      </c>
      <c r="AA132" s="110">
        <f t="shared" si="135"/>
        <v>3000</v>
      </c>
    </row>
    <row r="133" spans="1:27" ht="12.75">
      <c r="A133" s="19">
        <v>1504</v>
      </c>
      <c r="B133" s="5" t="s">
        <v>52</v>
      </c>
      <c r="C133" s="44">
        <v>1692</v>
      </c>
      <c r="D133" s="44">
        <v>288</v>
      </c>
      <c r="E133" s="44"/>
      <c r="F133" s="11">
        <f t="shared" si="136"/>
        <v>2634.2781840000002</v>
      </c>
      <c r="G133" s="11">
        <f t="shared" si="137"/>
        <v>448.38777600000003</v>
      </c>
      <c r="H133" s="11">
        <f t="shared" si="125"/>
        <v>0</v>
      </c>
      <c r="I133" s="37">
        <f t="shared" si="126"/>
        <v>3082.6659600000003</v>
      </c>
      <c r="J133" s="47">
        <f t="shared" si="127"/>
        <v>308.26659600000005</v>
      </c>
      <c r="K133" s="112">
        <f>$D$10*2</f>
        <v>1280</v>
      </c>
      <c r="L133" s="112"/>
      <c r="M133" s="47">
        <v>0</v>
      </c>
      <c r="N133" s="14">
        <f>IF((I133+J133+K133+L133+M133)-((I133+J133+K133+L133+M133)*0.235)&lt;$D$11*2,($D$11*2-((I133+J133+K133+L133+M133)-((I133+J133+K133+L133+M133)*0.235)))/0.765,0)</f>
        <v>2374.8190779869283</v>
      </c>
      <c r="O133" s="14">
        <f t="shared" si="128"/>
        <v>7045.751633986928</v>
      </c>
      <c r="P133" s="52">
        <f t="shared" si="129"/>
        <v>775.0326797385621</v>
      </c>
      <c r="Q133" s="47">
        <f t="shared" si="130"/>
        <v>211.37254901960785</v>
      </c>
      <c r="R133" s="47">
        <f t="shared" si="130"/>
        <v>211.37254901960785</v>
      </c>
      <c r="S133" s="47">
        <f t="shared" si="131"/>
        <v>140.91503267973857</v>
      </c>
      <c r="T133" s="14">
        <f t="shared" si="132"/>
        <v>317.05882352941177</v>
      </c>
      <c r="U133" s="52">
        <f t="shared" si="133"/>
        <v>1655.7516339869283</v>
      </c>
      <c r="V133" s="52">
        <f t="shared" si="138"/>
        <v>3573.2634053399997</v>
      </c>
      <c r="W133" s="109">
        <f t="shared" si="134"/>
        <v>5390</v>
      </c>
      <c r="X133" s="103">
        <f>$D$12*2</f>
        <v>510</v>
      </c>
      <c r="Y133" s="103">
        <f>$I$12*2</f>
        <v>0</v>
      </c>
      <c r="Z133" s="117">
        <f>$D$14*2</f>
        <v>100</v>
      </c>
      <c r="AA133" s="110">
        <f t="shared" si="135"/>
        <v>6000</v>
      </c>
    </row>
    <row r="134" spans="1:27" ht="12.75">
      <c r="A134" s="19">
        <v>1507</v>
      </c>
      <c r="B134" s="5" t="s">
        <v>92</v>
      </c>
      <c r="C134" s="44">
        <v>1410</v>
      </c>
      <c r="D134" s="44">
        <v>240</v>
      </c>
      <c r="E134" s="44"/>
      <c r="F134" s="11">
        <f t="shared" si="136"/>
        <v>2195.23182</v>
      </c>
      <c r="G134" s="11">
        <f t="shared" si="137"/>
        <v>373.65648</v>
      </c>
      <c r="H134" s="11">
        <f t="shared" si="125"/>
        <v>0</v>
      </c>
      <c r="I134" s="37">
        <f t="shared" si="126"/>
        <v>2568.8883</v>
      </c>
      <c r="J134" s="47">
        <f t="shared" si="127"/>
        <v>256.88883000000004</v>
      </c>
      <c r="K134" s="75">
        <f>$D$10/17*30</f>
        <v>1129.4117647058824</v>
      </c>
      <c r="L134" s="75"/>
      <c r="M134" s="47">
        <v>0</v>
      </c>
      <c r="N134" s="14">
        <f>IF((I134+J134+K134+L134+M134)-((I134+J134+K134+L134+M134)*0.235)&lt;$D$11*2,($D$11*2-((I134+J134+K134+L134+M134)-((I134+J134+K134+L134+M134)*0.235)))/0.765,0)</f>
        <v>3090.5627392810457</v>
      </c>
      <c r="O134" s="14">
        <f t="shared" si="128"/>
        <v>7045.751633986928</v>
      </c>
      <c r="P134" s="52">
        <f t="shared" si="129"/>
        <v>775.0326797385621</v>
      </c>
      <c r="Q134" s="47">
        <f t="shared" si="130"/>
        <v>211.37254901960785</v>
      </c>
      <c r="R134" s="47">
        <f t="shared" si="130"/>
        <v>211.37254901960785</v>
      </c>
      <c r="S134" s="47">
        <f t="shared" si="131"/>
        <v>140.91503267973857</v>
      </c>
      <c r="T134" s="14">
        <f t="shared" si="132"/>
        <v>317.05882352941177</v>
      </c>
      <c r="U134" s="52">
        <f t="shared" si="133"/>
        <v>1655.7516339869283</v>
      </c>
      <c r="V134" s="52">
        <f t="shared" si="138"/>
        <v>3025.71950445</v>
      </c>
      <c r="W134" s="109">
        <f t="shared" si="134"/>
        <v>5390</v>
      </c>
      <c r="X134" s="103">
        <f>$D$12*2</f>
        <v>510</v>
      </c>
      <c r="Y134" s="103">
        <f>$I$12*2</f>
        <v>0</v>
      </c>
      <c r="Z134" s="117">
        <f>$D$14*2</f>
        <v>100</v>
      </c>
      <c r="AA134" s="110">
        <f t="shared" si="135"/>
        <v>6000</v>
      </c>
    </row>
    <row r="135" spans="1:27" ht="12.75">
      <c r="A135" s="19">
        <v>1528</v>
      </c>
      <c r="B135" s="5" t="s">
        <v>93</v>
      </c>
      <c r="C135" s="44">
        <v>1128</v>
      </c>
      <c r="D135" s="44">
        <v>192</v>
      </c>
      <c r="E135" s="44"/>
      <c r="F135" s="11">
        <f t="shared" si="136"/>
        <v>1756.185456</v>
      </c>
      <c r="G135" s="11">
        <f t="shared" si="137"/>
        <v>298.925184</v>
      </c>
      <c r="H135" s="11">
        <f t="shared" si="125"/>
        <v>0</v>
      </c>
      <c r="I135" s="37">
        <f t="shared" si="126"/>
        <v>2055.11064</v>
      </c>
      <c r="J135" s="47">
        <f t="shared" si="127"/>
        <v>205.511064</v>
      </c>
      <c r="K135" s="75">
        <f>$D$10/17*24</f>
        <v>903.5294117647059</v>
      </c>
      <c r="L135" s="75"/>
      <c r="M135" s="47">
        <v>0</v>
      </c>
      <c r="N135" s="143">
        <f>IF((I135+J135+K135+L135+M135)-((I135+J135+K135+L135+M135)*0.235)&lt;($D$11*1.8),(($D$11)*1.8-((I135+J135+K135+L135+M135)-((I135+J135+K135+L135+M135)*0.235)))/0.765,0)</f>
        <v>3177.0253548235296</v>
      </c>
      <c r="O135" s="14">
        <f t="shared" si="128"/>
        <v>6341.176470588235</v>
      </c>
      <c r="P135" s="52">
        <f t="shared" si="129"/>
        <v>697.5294117647059</v>
      </c>
      <c r="Q135" s="47">
        <f t="shared" si="130"/>
        <v>190.23529411764704</v>
      </c>
      <c r="R135" s="47">
        <f t="shared" si="130"/>
        <v>190.23529411764704</v>
      </c>
      <c r="S135" s="47">
        <f t="shared" si="131"/>
        <v>126.82352941176471</v>
      </c>
      <c r="T135" s="14">
        <f t="shared" si="132"/>
        <v>285.35294117647055</v>
      </c>
      <c r="U135" s="52">
        <f t="shared" si="133"/>
        <v>1490.1764705882351</v>
      </c>
      <c r="V135" s="52">
        <f t="shared" si="138"/>
        <v>2420.5756035599998</v>
      </c>
      <c r="W135" s="109">
        <f t="shared" si="134"/>
        <v>4851</v>
      </c>
      <c r="X135" s="103">
        <v>344</v>
      </c>
      <c r="Y135" s="127">
        <v>64</v>
      </c>
      <c r="Z135" s="117">
        <v>80</v>
      </c>
      <c r="AA135" s="142">
        <f t="shared" si="135"/>
        <v>5339</v>
      </c>
    </row>
    <row r="136" spans="1:27" ht="12.75">
      <c r="A136" s="19">
        <v>1549</v>
      </c>
      <c r="B136" s="5" t="s">
        <v>94</v>
      </c>
      <c r="C136" s="44">
        <v>846</v>
      </c>
      <c r="D136" s="44">
        <v>144</v>
      </c>
      <c r="E136" s="44"/>
      <c r="F136" s="11">
        <f t="shared" si="136"/>
        <v>1317.1390920000001</v>
      </c>
      <c r="G136" s="11">
        <f t="shared" si="137"/>
        <v>224.19388800000002</v>
      </c>
      <c r="H136" s="11">
        <f t="shared" si="125"/>
        <v>0</v>
      </c>
      <c r="I136" s="37">
        <f t="shared" si="126"/>
        <v>1541.3329800000001</v>
      </c>
      <c r="J136" s="47">
        <f t="shared" si="127"/>
        <v>154.13329800000002</v>
      </c>
      <c r="K136" s="75">
        <f>$D$10/17*18</f>
        <v>677.6470588235294</v>
      </c>
      <c r="L136" s="75"/>
      <c r="M136" s="47">
        <v>0</v>
      </c>
      <c r="N136" s="143">
        <f>IF((I136+J136+K136+L136+M136)-((I136+J136+K136+L136+M136)*0.235)&lt;($D$11*1.6),(($D$11)*1.6-((I136+J136+K136+L136+M136)-((I136+J136+K136+L136+M136)*0.235)))/0.765,0)</f>
        <v>3263.487970366013</v>
      </c>
      <c r="O136" s="14">
        <f t="shared" si="128"/>
        <v>5636.601307189543</v>
      </c>
      <c r="P136" s="52">
        <f t="shared" si="129"/>
        <v>620.0261437908498</v>
      </c>
      <c r="Q136" s="47">
        <f t="shared" si="130"/>
        <v>169.0980392156863</v>
      </c>
      <c r="R136" s="47">
        <f t="shared" si="130"/>
        <v>169.0980392156863</v>
      </c>
      <c r="S136" s="47">
        <f t="shared" si="131"/>
        <v>112.73202614379086</v>
      </c>
      <c r="T136" s="14">
        <f t="shared" si="132"/>
        <v>253.64705882352942</v>
      </c>
      <c r="U136" s="52">
        <f t="shared" si="133"/>
        <v>1324.6013071895427</v>
      </c>
      <c r="V136" s="52">
        <f t="shared" si="138"/>
        <v>1815.43170267</v>
      </c>
      <c r="W136" s="109">
        <f t="shared" si="134"/>
        <v>4312</v>
      </c>
      <c r="X136" s="103">
        <v>258</v>
      </c>
      <c r="Y136" s="127">
        <v>48</v>
      </c>
      <c r="Z136" s="117">
        <v>60</v>
      </c>
      <c r="AA136" s="142">
        <f t="shared" si="135"/>
        <v>4678</v>
      </c>
    </row>
    <row r="137" spans="1:27" ht="13.5" thickBot="1">
      <c r="A137" s="20">
        <v>1550</v>
      </c>
      <c r="B137" s="7" t="s">
        <v>95</v>
      </c>
      <c r="C137" s="45">
        <v>564</v>
      </c>
      <c r="D137" s="45">
        <v>96</v>
      </c>
      <c r="E137" s="45"/>
      <c r="F137" s="12">
        <f t="shared" si="136"/>
        <v>878.092728</v>
      </c>
      <c r="G137" s="12">
        <f t="shared" si="137"/>
        <v>149.462592</v>
      </c>
      <c r="H137" s="11">
        <f t="shared" si="125"/>
        <v>0</v>
      </c>
      <c r="I137" s="37">
        <f t="shared" si="126"/>
        <v>1027.55532</v>
      </c>
      <c r="J137" s="48">
        <f t="shared" si="127"/>
        <v>102.755532</v>
      </c>
      <c r="K137" s="108">
        <f>$D$10/17*12</f>
        <v>451.7647058823529</v>
      </c>
      <c r="L137" s="108"/>
      <c r="M137" s="48">
        <v>0</v>
      </c>
      <c r="N137" s="143">
        <f>IF((I137+J137+K137+L137+M137)-((I137+J137+K137+L137+M137)*0.235)&lt;($D$11*0.8),(($D$11)*0.8-((I137+J137+K137+L137+M137)-((I137+J137+K137+L137+M137)*0.235)))/0.765,0)</f>
        <v>1236.2250957124184</v>
      </c>
      <c r="O137" s="15">
        <f t="shared" si="128"/>
        <v>2818.300653594771</v>
      </c>
      <c r="P137" s="53">
        <f t="shared" si="129"/>
        <v>310.01307189542484</v>
      </c>
      <c r="Q137" s="48">
        <f t="shared" si="130"/>
        <v>84.54901960784314</v>
      </c>
      <c r="R137" s="48">
        <f t="shared" si="130"/>
        <v>84.54901960784314</v>
      </c>
      <c r="S137" s="48">
        <f t="shared" si="131"/>
        <v>56.36601307189542</v>
      </c>
      <c r="T137" s="15">
        <f t="shared" si="132"/>
        <v>126.8235294117647</v>
      </c>
      <c r="U137" s="53">
        <f t="shared" si="133"/>
        <v>662.3006535947712</v>
      </c>
      <c r="V137" s="53">
        <f t="shared" si="138"/>
        <v>1210.2878017799999</v>
      </c>
      <c r="W137" s="107">
        <f t="shared" si="134"/>
        <v>2156</v>
      </c>
      <c r="X137" s="104">
        <v>172</v>
      </c>
      <c r="Y137" s="128">
        <v>32</v>
      </c>
      <c r="Z137" s="118">
        <v>40</v>
      </c>
      <c r="AA137" s="121">
        <f t="shared" si="135"/>
        <v>2400</v>
      </c>
    </row>
    <row r="138" spans="1:5" ht="13.5" thickBot="1">
      <c r="A138" s="2"/>
      <c r="C138" s="2"/>
      <c r="D138" s="2"/>
      <c r="E138" s="2"/>
    </row>
    <row r="139" spans="1:27" ht="21" thickBot="1">
      <c r="A139" s="176" t="s">
        <v>33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83"/>
      <c r="Y139" s="83"/>
      <c r="Z139" s="83"/>
      <c r="AA139" s="84"/>
    </row>
    <row r="140" spans="1:27" s="13" customFormat="1" ht="12.75" customHeight="1">
      <c r="A140" s="178" t="s">
        <v>1</v>
      </c>
      <c r="B140" s="180" t="s">
        <v>0</v>
      </c>
      <c r="C140" s="223" t="s">
        <v>2</v>
      </c>
      <c r="D140" s="224"/>
      <c r="E140" s="225"/>
      <c r="F140" s="182" t="s">
        <v>61</v>
      </c>
      <c r="G140" s="182" t="s">
        <v>62</v>
      </c>
      <c r="H140" s="207" t="s">
        <v>142</v>
      </c>
      <c r="I140" s="184" t="s">
        <v>68</v>
      </c>
      <c r="J140" s="184" t="s">
        <v>66</v>
      </c>
      <c r="K140" s="182" t="s">
        <v>132</v>
      </c>
      <c r="L140" s="182" t="s">
        <v>136</v>
      </c>
      <c r="M140" s="184" t="s">
        <v>77</v>
      </c>
      <c r="N140" s="186" t="s">
        <v>118</v>
      </c>
      <c r="O140" s="186" t="s">
        <v>117</v>
      </c>
      <c r="P140" s="188" t="s">
        <v>99</v>
      </c>
      <c r="Q140" s="189"/>
      <c r="R140" s="189"/>
      <c r="S140" s="189"/>
      <c r="T140" s="189"/>
      <c r="U140" s="190" t="s">
        <v>116</v>
      </c>
      <c r="V140" s="190" t="s">
        <v>115</v>
      </c>
      <c r="W140" s="192" t="s">
        <v>114</v>
      </c>
      <c r="X140" s="206" t="s">
        <v>121</v>
      </c>
      <c r="Y140" s="113"/>
      <c r="Z140" s="113"/>
      <c r="AA140" s="206" t="s">
        <v>122</v>
      </c>
    </row>
    <row r="141" spans="1:27" s="13" customFormat="1" ht="78" customHeight="1">
      <c r="A141" s="179"/>
      <c r="B141" s="181"/>
      <c r="C141" s="8" t="s">
        <v>3</v>
      </c>
      <c r="D141" s="8" t="s">
        <v>6</v>
      </c>
      <c r="E141" s="8" t="s">
        <v>141</v>
      </c>
      <c r="F141" s="183"/>
      <c r="G141" s="183"/>
      <c r="H141" s="182"/>
      <c r="I141" s="185"/>
      <c r="J141" s="185"/>
      <c r="K141" s="183"/>
      <c r="L141" s="183"/>
      <c r="M141" s="185"/>
      <c r="N141" s="187"/>
      <c r="O141" s="187"/>
      <c r="P141" s="63" t="s">
        <v>101</v>
      </c>
      <c r="Q141" s="62" t="s">
        <v>102</v>
      </c>
      <c r="R141" s="62" t="s">
        <v>103</v>
      </c>
      <c r="S141" s="64" t="s">
        <v>104</v>
      </c>
      <c r="T141" s="64" t="s">
        <v>105</v>
      </c>
      <c r="U141" s="191"/>
      <c r="V141" s="191"/>
      <c r="W141" s="188"/>
      <c r="X141" s="205"/>
      <c r="Y141" s="125" t="s">
        <v>140</v>
      </c>
      <c r="Z141" s="129" t="s">
        <v>145</v>
      </c>
      <c r="AA141" s="205"/>
    </row>
    <row r="142" spans="1:27" ht="13.5" thickBot="1">
      <c r="A142" s="17">
        <v>5596</v>
      </c>
      <c r="B142" s="6" t="s">
        <v>34</v>
      </c>
      <c r="C142" s="40">
        <v>1509</v>
      </c>
      <c r="D142" s="40">
        <v>0</v>
      </c>
      <c r="E142" s="40"/>
      <c r="F142" s="12">
        <f>C142*$D$9</f>
        <v>2349.365118</v>
      </c>
      <c r="G142" s="12">
        <f>D142*$D$169</f>
        <v>0</v>
      </c>
      <c r="H142" s="11">
        <f>E142*$D$9</f>
        <v>0</v>
      </c>
      <c r="I142" s="37">
        <f>G142+F142+H142</f>
        <v>2349.365118</v>
      </c>
      <c r="J142" s="48">
        <f>I142*0.1</f>
        <v>234.93651180000003</v>
      </c>
      <c r="K142" s="12">
        <f>$D$10</f>
        <v>640</v>
      </c>
      <c r="L142" s="12"/>
      <c r="M142" s="48">
        <v>0</v>
      </c>
      <c r="N142" s="15">
        <f>IF((I142+J142+K142+L142+M142)-((I142+J142+K142+L142+M142)*0.235)&lt;$D$11,($D$11-((I142+J142+K142+L142+M142)-((I142+J142+K142+L142+M142)*0.235)))/0.765,0)</f>
        <v>298.57418719346396</v>
      </c>
      <c r="O142" s="15">
        <f>SUM(I142:N142)</f>
        <v>3522.875816993464</v>
      </c>
      <c r="P142" s="53">
        <f>$O142*11%</f>
        <v>387.51633986928107</v>
      </c>
      <c r="Q142" s="48">
        <f>$O142*3%</f>
        <v>105.68627450980392</v>
      </c>
      <c r="R142" s="48">
        <f>$O142*3%</f>
        <v>105.68627450980392</v>
      </c>
      <c r="S142" s="48">
        <f>$O142*2%</f>
        <v>70.45751633986929</v>
      </c>
      <c r="T142" s="15">
        <f>$O142*4.5%</f>
        <v>158.52941176470588</v>
      </c>
      <c r="U142" s="53">
        <f>SUM(Q142:T142)+P142</f>
        <v>827.8758169934641</v>
      </c>
      <c r="V142" s="53">
        <f>(I142+J142+K142+M142)-((I142+J142+K142+M142)*0.235)</f>
        <v>2466.590746797</v>
      </c>
      <c r="W142" s="107">
        <f>O142-U142</f>
        <v>2695</v>
      </c>
      <c r="X142" s="104">
        <f>$D$12</f>
        <v>255</v>
      </c>
      <c r="Y142" s="104">
        <f>I12</f>
        <v>0</v>
      </c>
      <c r="Z142" s="123">
        <f>$D$14</f>
        <v>50</v>
      </c>
      <c r="AA142" s="121">
        <f>W142+X142+Y142+Z142</f>
        <v>3000</v>
      </c>
    </row>
    <row r="143" ht="13.5" thickBot="1"/>
    <row r="144" spans="1:27" s="32" customFormat="1" ht="21" thickBot="1">
      <c r="A144" s="176" t="s">
        <v>88</v>
      </c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85"/>
      <c r="Y144" s="85"/>
      <c r="Z144" s="85"/>
      <c r="AA144" s="86"/>
    </row>
    <row r="145" spans="1:27" s="13" customFormat="1" ht="12.75" customHeight="1">
      <c r="A145" s="178" t="s">
        <v>1</v>
      </c>
      <c r="B145" s="180" t="s">
        <v>0</v>
      </c>
      <c r="C145" s="223" t="s">
        <v>2</v>
      </c>
      <c r="D145" s="224"/>
      <c r="E145" s="225"/>
      <c r="F145" s="182" t="s">
        <v>61</v>
      </c>
      <c r="G145" s="182" t="s">
        <v>62</v>
      </c>
      <c r="H145" s="207" t="s">
        <v>142</v>
      </c>
      <c r="I145" s="184" t="s">
        <v>68</v>
      </c>
      <c r="J145" s="184" t="s">
        <v>66</v>
      </c>
      <c r="K145" s="182" t="s">
        <v>132</v>
      </c>
      <c r="L145" s="182" t="s">
        <v>136</v>
      </c>
      <c r="M145" s="184" t="s">
        <v>77</v>
      </c>
      <c r="N145" s="186" t="s">
        <v>118</v>
      </c>
      <c r="O145" s="186" t="s">
        <v>117</v>
      </c>
      <c r="P145" s="188" t="s">
        <v>99</v>
      </c>
      <c r="Q145" s="189"/>
      <c r="R145" s="189"/>
      <c r="S145" s="189"/>
      <c r="T145" s="189"/>
      <c r="U145" s="190" t="s">
        <v>116</v>
      </c>
      <c r="V145" s="190" t="s">
        <v>115</v>
      </c>
      <c r="W145" s="206" t="s">
        <v>114</v>
      </c>
      <c r="X145" s="206" t="s">
        <v>121</v>
      </c>
      <c r="Y145" s="113"/>
      <c r="Z145" s="113"/>
      <c r="AA145" s="206" t="s">
        <v>122</v>
      </c>
    </row>
    <row r="146" spans="1:27" s="13" customFormat="1" ht="78" customHeight="1">
      <c r="A146" s="179"/>
      <c r="B146" s="181"/>
      <c r="C146" s="8" t="s">
        <v>3</v>
      </c>
      <c r="D146" s="8" t="s">
        <v>6</v>
      </c>
      <c r="E146" s="8" t="s">
        <v>141</v>
      </c>
      <c r="F146" s="183"/>
      <c r="G146" s="183"/>
      <c r="H146" s="182"/>
      <c r="I146" s="185"/>
      <c r="J146" s="185"/>
      <c r="K146" s="183"/>
      <c r="L146" s="183"/>
      <c r="M146" s="185"/>
      <c r="N146" s="187"/>
      <c r="O146" s="187"/>
      <c r="P146" s="63" t="s">
        <v>101</v>
      </c>
      <c r="Q146" s="62" t="s">
        <v>102</v>
      </c>
      <c r="R146" s="62" t="s">
        <v>103</v>
      </c>
      <c r="S146" s="64" t="s">
        <v>104</v>
      </c>
      <c r="T146" s="64" t="s">
        <v>105</v>
      </c>
      <c r="U146" s="191"/>
      <c r="V146" s="191"/>
      <c r="W146" s="205"/>
      <c r="X146" s="205"/>
      <c r="Y146" s="125" t="s">
        <v>140</v>
      </c>
      <c r="Z146" s="129" t="s">
        <v>145</v>
      </c>
      <c r="AA146" s="205"/>
    </row>
    <row r="147" spans="1:27" ht="12.75">
      <c r="A147" s="16">
        <v>3509</v>
      </c>
      <c r="B147" s="3" t="s">
        <v>36</v>
      </c>
      <c r="C147" s="39">
        <v>2625</v>
      </c>
      <c r="D147" s="39">
        <v>235</v>
      </c>
      <c r="E147" s="39">
        <v>143</v>
      </c>
      <c r="F147" s="11">
        <f aca="true" t="shared" si="139" ref="F147:F157">C147*$D$9</f>
        <v>4086.86775</v>
      </c>
      <c r="G147" s="11">
        <f aca="true" t="shared" si="140" ref="G147:H157">D147*$D$9</f>
        <v>365.87197</v>
      </c>
      <c r="H147" s="11">
        <f t="shared" si="140"/>
        <v>222.636986</v>
      </c>
      <c r="I147" s="37">
        <f aca="true" t="shared" si="141" ref="I147:I157">G147+F147+H147</f>
        <v>4675.376706</v>
      </c>
      <c r="J147" s="47">
        <f aca="true" t="shared" si="142" ref="J147:J157">I147*0.1</f>
        <v>467.5376706</v>
      </c>
      <c r="K147" s="11">
        <f aca="true" t="shared" si="143" ref="K147:K156">$D$10</f>
        <v>640</v>
      </c>
      <c r="L147" s="11">
        <v>639.64</v>
      </c>
      <c r="M147" s="47">
        <v>0</v>
      </c>
      <c r="N147" s="14">
        <f aca="true" t="shared" si="144" ref="N147:N156">IF((I147+J147+K147+L147+M147)-((I147+J147+K147+L147+M147)*0.235)&lt;$D$11,($D$11-((I147+J147+K147+L147+M147)-((I147+J147+K147+L147+M147)*0.235)))/0.765,0)</f>
        <v>0</v>
      </c>
      <c r="O147" s="14">
        <f aca="true" t="shared" si="145" ref="O147:O157">SUM(I147:N147)</f>
        <v>6422.5543766</v>
      </c>
      <c r="P147" s="52">
        <f aca="true" t="shared" si="146" ref="P147:P157">$O147*11%</f>
        <v>706.480981426</v>
      </c>
      <c r="Q147" s="47">
        <f aca="true" t="shared" si="147" ref="Q147:R157">$O147*3%</f>
        <v>192.676631298</v>
      </c>
      <c r="R147" s="47">
        <f t="shared" si="147"/>
        <v>192.676631298</v>
      </c>
      <c r="S147" s="47">
        <f aca="true" t="shared" si="148" ref="S147:S157">$O147*2%</f>
        <v>128.451087532</v>
      </c>
      <c r="T147" s="14">
        <f aca="true" t="shared" si="149" ref="T147:T157">$O147*4.5%</f>
        <v>289.014946947</v>
      </c>
      <c r="U147" s="52">
        <f aca="true" t="shared" si="150" ref="U147:U157">SUM(Q147:T147)+P147</f>
        <v>1509.3002785009999</v>
      </c>
      <c r="V147" s="52">
        <f>(I147+J147+K147+L147+M147)-((I147+J147+K147+L147+M147)*0.235)</f>
        <v>4913.254098099</v>
      </c>
      <c r="W147" s="98">
        <f aca="true" t="shared" si="151" ref="W147:W157">O147-U147</f>
        <v>4913.254098099</v>
      </c>
      <c r="X147" s="103">
        <f aca="true" t="shared" si="152" ref="X147:X156">$D$12</f>
        <v>255</v>
      </c>
      <c r="Y147" s="103">
        <f>$I$12</f>
        <v>0</v>
      </c>
      <c r="Z147" s="122">
        <f aca="true" t="shared" si="153" ref="Z147:Z156">$D$14</f>
        <v>50</v>
      </c>
      <c r="AA147" s="110">
        <f aca="true" t="shared" si="154" ref="AA147:AA157">W147+X147+Y147+Z147</f>
        <v>5218.254098099</v>
      </c>
    </row>
    <row r="148" spans="1:27" ht="12.75">
      <c r="A148" s="16">
        <v>3510</v>
      </c>
      <c r="B148" s="3" t="s">
        <v>53</v>
      </c>
      <c r="C148" s="39">
        <v>2204</v>
      </c>
      <c r="D148" s="39">
        <v>284</v>
      </c>
      <c r="E148" s="39">
        <v>124</v>
      </c>
      <c r="F148" s="11">
        <f t="shared" si="139"/>
        <v>3431.4120080000002</v>
      </c>
      <c r="G148" s="11">
        <f t="shared" si="140"/>
        <v>442.160168</v>
      </c>
      <c r="H148" s="11">
        <f t="shared" si="140"/>
        <v>193.055848</v>
      </c>
      <c r="I148" s="37">
        <f t="shared" si="141"/>
        <v>4066.628024</v>
      </c>
      <c r="J148" s="47">
        <f t="shared" si="142"/>
        <v>406.66280240000003</v>
      </c>
      <c r="K148" s="11">
        <f t="shared" si="143"/>
        <v>640</v>
      </c>
      <c r="L148" s="11">
        <v>462.48</v>
      </c>
      <c r="M148" s="47">
        <v>0</v>
      </c>
      <c r="N148" s="14">
        <f t="shared" si="144"/>
        <v>0</v>
      </c>
      <c r="O148" s="14">
        <f t="shared" si="145"/>
        <v>5575.770826399999</v>
      </c>
      <c r="P148" s="52">
        <f t="shared" si="146"/>
        <v>613.334790904</v>
      </c>
      <c r="Q148" s="47">
        <f t="shared" si="147"/>
        <v>167.27312479199998</v>
      </c>
      <c r="R148" s="47">
        <f t="shared" si="147"/>
        <v>167.27312479199998</v>
      </c>
      <c r="S148" s="47">
        <f t="shared" si="148"/>
        <v>111.51541652799999</v>
      </c>
      <c r="T148" s="14">
        <f t="shared" si="149"/>
        <v>250.90968718799996</v>
      </c>
      <c r="U148" s="52">
        <f t="shared" si="150"/>
        <v>1310.3061442039998</v>
      </c>
      <c r="V148" s="52">
        <f>(I148+J148+K148+L148+M148)-((I148+J148+K148+L148+M148)*0.235)</f>
        <v>4265.464682196</v>
      </c>
      <c r="W148" s="98">
        <f t="shared" si="151"/>
        <v>4265.464682196</v>
      </c>
      <c r="X148" s="103">
        <f t="shared" si="152"/>
        <v>255</v>
      </c>
      <c r="Y148" s="103">
        <f aca="true" t="shared" si="155" ref="Y148:Y156">$I$12</f>
        <v>0</v>
      </c>
      <c r="Z148" s="122">
        <f t="shared" si="153"/>
        <v>50</v>
      </c>
      <c r="AA148" s="110">
        <f t="shared" si="154"/>
        <v>4570.464682196</v>
      </c>
    </row>
    <row r="149" spans="1:27" ht="12.75">
      <c r="A149" s="16">
        <v>3525</v>
      </c>
      <c r="B149" s="3" t="s">
        <v>38</v>
      </c>
      <c r="C149" s="39">
        <v>1083</v>
      </c>
      <c r="D149" s="137">
        <v>717</v>
      </c>
      <c r="E149" s="135"/>
      <c r="F149" s="11">
        <f t="shared" si="139"/>
        <v>1686.124866</v>
      </c>
      <c r="G149" s="11">
        <f t="shared" si="140"/>
        <v>1116.298734</v>
      </c>
      <c r="H149" s="11">
        <f t="shared" si="140"/>
        <v>0</v>
      </c>
      <c r="I149" s="37">
        <f t="shared" si="141"/>
        <v>2802.4236</v>
      </c>
      <c r="J149" s="47">
        <f t="shared" si="142"/>
        <v>280.24236</v>
      </c>
      <c r="K149" s="11">
        <f t="shared" si="143"/>
        <v>640</v>
      </c>
      <c r="L149" s="11">
        <v>292.47</v>
      </c>
      <c r="M149" s="47">
        <v>0</v>
      </c>
      <c r="N149" s="14">
        <f t="shared" si="144"/>
        <v>0</v>
      </c>
      <c r="O149" s="14">
        <f t="shared" si="145"/>
        <v>4015.1359600000005</v>
      </c>
      <c r="P149" s="52">
        <f t="shared" si="146"/>
        <v>441.66495560000004</v>
      </c>
      <c r="Q149" s="47">
        <f t="shared" si="147"/>
        <v>120.4540788</v>
      </c>
      <c r="R149" s="47">
        <f t="shared" si="147"/>
        <v>120.4540788</v>
      </c>
      <c r="S149" s="47">
        <f t="shared" si="148"/>
        <v>80.30271920000001</v>
      </c>
      <c r="T149" s="14">
        <f t="shared" si="149"/>
        <v>180.68111820000001</v>
      </c>
      <c r="U149" s="52">
        <f t="shared" si="150"/>
        <v>943.5569506000002</v>
      </c>
      <c r="V149" s="52">
        <f>(I149+J149+K149+L149+M149)-((I149+J149+K149+L149+M149)*0.235)</f>
        <v>3071.5790094000004</v>
      </c>
      <c r="W149" s="98">
        <f t="shared" si="151"/>
        <v>3071.5790094000004</v>
      </c>
      <c r="X149" s="103">
        <f t="shared" si="152"/>
        <v>255</v>
      </c>
      <c r="Y149" s="103">
        <f t="shared" si="155"/>
        <v>0</v>
      </c>
      <c r="Z149" s="122">
        <f t="shared" si="153"/>
        <v>50</v>
      </c>
      <c r="AA149" s="110">
        <f t="shared" si="154"/>
        <v>3376.5790094000004</v>
      </c>
    </row>
    <row r="150" spans="1:27" ht="12.75">
      <c r="A150" s="16">
        <v>3535</v>
      </c>
      <c r="B150" s="3" t="s">
        <v>54</v>
      </c>
      <c r="C150" s="39">
        <v>800</v>
      </c>
      <c r="D150" s="39">
        <v>184</v>
      </c>
      <c r="E150" s="39"/>
      <c r="F150" s="11">
        <f t="shared" si="139"/>
        <v>1245.5216</v>
      </c>
      <c r="G150" s="11">
        <f t="shared" si="140"/>
        <v>286.469968</v>
      </c>
      <c r="H150" s="11">
        <f t="shared" si="140"/>
        <v>0</v>
      </c>
      <c r="I150" s="37">
        <f t="shared" si="141"/>
        <v>1531.991568</v>
      </c>
      <c r="J150" s="47">
        <f t="shared" si="142"/>
        <v>153.1991568</v>
      </c>
      <c r="K150" s="11">
        <f t="shared" si="143"/>
        <v>640</v>
      </c>
      <c r="L150" s="11"/>
      <c r="M150" s="47">
        <v>0</v>
      </c>
      <c r="N150" s="14">
        <f t="shared" si="144"/>
        <v>1197.685092193464</v>
      </c>
      <c r="O150" s="14">
        <f t="shared" si="145"/>
        <v>3522.8758169934636</v>
      </c>
      <c r="P150" s="52">
        <f t="shared" si="146"/>
        <v>387.516339869281</v>
      </c>
      <c r="Q150" s="47">
        <f t="shared" si="147"/>
        <v>105.68627450980391</v>
      </c>
      <c r="R150" s="47">
        <f t="shared" si="147"/>
        <v>105.68627450980391</v>
      </c>
      <c r="S150" s="47">
        <f t="shared" si="148"/>
        <v>70.45751633986927</v>
      </c>
      <c r="T150" s="14">
        <f t="shared" si="149"/>
        <v>158.52941176470586</v>
      </c>
      <c r="U150" s="52">
        <f t="shared" si="150"/>
        <v>827.875816993464</v>
      </c>
      <c r="V150" s="52">
        <f>(I150+J150+K150+L150+M150)-((I150+J150+K150+L150+M150)*0.235)</f>
        <v>1778.770904472</v>
      </c>
      <c r="W150" s="98">
        <f t="shared" si="151"/>
        <v>2694.9999999999995</v>
      </c>
      <c r="X150" s="103">
        <f t="shared" si="152"/>
        <v>255</v>
      </c>
      <c r="Y150" s="103">
        <f t="shared" si="155"/>
        <v>0</v>
      </c>
      <c r="Z150" s="122">
        <f t="shared" si="153"/>
        <v>50</v>
      </c>
      <c r="AA150" s="110">
        <f t="shared" si="154"/>
        <v>2999.9999999999995</v>
      </c>
    </row>
    <row r="151" spans="1:27" ht="12.75">
      <c r="A151" s="16">
        <v>3536</v>
      </c>
      <c r="B151" s="3" t="s">
        <v>55</v>
      </c>
      <c r="C151" s="39">
        <v>564</v>
      </c>
      <c r="D151" s="39">
        <v>246</v>
      </c>
      <c r="E151" s="39"/>
      <c r="F151" s="11">
        <f t="shared" si="139"/>
        <v>878.092728</v>
      </c>
      <c r="G151" s="11">
        <f t="shared" si="140"/>
        <v>382.997892</v>
      </c>
      <c r="H151" s="11">
        <f t="shared" si="140"/>
        <v>0</v>
      </c>
      <c r="I151" s="37">
        <f t="shared" si="141"/>
        <v>1261.09062</v>
      </c>
      <c r="J151" s="47">
        <f t="shared" si="142"/>
        <v>126.109062</v>
      </c>
      <c r="K151" s="11">
        <f t="shared" si="143"/>
        <v>640</v>
      </c>
      <c r="L151" s="11"/>
      <c r="M151" s="47">
        <v>0</v>
      </c>
      <c r="N151" s="14">
        <f t="shared" si="144"/>
        <v>1495.676134993464</v>
      </c>
      <c r="O151" s="14">
        <f t="shared" si="145"/>
        <v>3522.875816993464</v>
      </c>
      <c r="P151" s="52">
        <f t="shared" si="146"/>
        <v>387.51633986928107</v>
      </c>
      <c r="Q151" s="47">
        <f t="shared" si="147"/>
        <v>105.68627450980392</v>
      </c>
      <c r="R151" s="47">
        <f t="shared" si="147"/>
        <v>105.68627450980392</v>
      </c>
      <c r="S151" s="47">
        <f t="shared" si="148"/>
        <v>70.45751633986929</v>
      </c>
      <c r="T151" s="14">
        <f t="shared" si="149"/>
        <v>158.52941176470588</v>
      </c>
      <c r="U151" s="52">
        <f t="shared" si="150"/>
        <v>827.8758169934641</v>
      </c>
      <c r="V151" s="52">
        <f aca="true" t="shared" si="156" ref="V151:V157">(I151+J151+K151+M151)-((I151+J151+K151+M151)*0.235)</f>
        <v>1550.80775673</v>
      </c>
      <c r="W151" s="98">
        <f t="shared" si="151"/>
        <v>2695</v>
      </c>
      <c r="X151" s="103">
        <f t="shared" si="152"/>
        <v>255</v>
      </c>
      <c r="Y151" s="103">
        <f t="shared" si="155"/>
        <v>0</v>
      </c>
      <c r="Z151" s="122">
        <f t="shared" si="153"/>
        <v>50</v>
      </c>
      <c r="AA151" s="110">
        <f t="shared" si="154"/>
        <v>3000</v>
      </c>
    </row>
    <row r="152" spans="1:27" ht="12.75">
      <c r="A152" s="16">
        <v>3539</v>
      </c>
      <c r="B152" s="3" t="s">
        <v>56</v>
      </c>
      <c r="C152" s="39">
        <v>920</v>
      </c>
      <c r="D152" s="137">
        <v>552</v>
      </c>
      <c r="E152" s="135"/>
      <c r="F152" s="11">
        <f t="shared" si="139"/>
        <v>1432.34984</v>
      </c>
      <c r="G152" s="11">
        <f t="shared" si="140"/>
        <v>859.409904</v>
      </c>
      <c r="H152" s="11">
        <f t="shared" si="140"/>
        <v>0</v>
      </c>
      <c r="I152" s="37">
        <f t="shared" si="141"/>
        <v>2291.759744</v>
      </c>
      <c r="J152" s="47">
        <f t="shared" si="142"/>
        <v>229.1759744</v>
      </c>
      <c r="K152" s="11">
        <f t="shared" si="143"/>
        <v>640</v>
      </c>
      <c r="L152" s="11"/>
      <c r="M152" s="47">
        <v>0</v>
      </c>
      <c r="N152" s="14">
        <f t="shared" si="144"/>
        <v>361.9400985934643</v>
      </c>
      <c r="O152" s="14">
        <f t="shared" si="145"/>
        <v>3522.8758169934645</v>
      </c>
      <c r="P152" s="52">
        <f t="shared" si="146"/>
        <v>387.51633986928107</v>
      </c>
      <c r="Q152" s="47">
        <f t="shared" si="147"/>
        <v>105.68627450980394</v>
      </c>
      <c r="R152" s="47">
        <f t="shared" si="147"/>
        <v>105.68627450980394</v>
      </c>
      <c r="S152" s="47">
        <f t="shared" si="148"/>
        <v>70.45751633986929</v>
      </c>
      <c r="T152" s="14">
        <f t="shared" si="149"/>
        <v>158.52941176470588</v>
      </c>
      <c r="U152" s="52">
        <f t="shared" si="150"/>
        <v>827.8758169934641</v>
      </c>
      <c r="V152" s="52">
        <f t="shared" si="156"/>
        <v>2418.115824576</v>
      </c>
      <c r="W152" s="98">
        <f t="shared" si="151"/>
        <v>2695.0000000000005</v>
      </c>
      <c r="X152" s="103">
        <f t="shared" si="152"/>
        <v>255</v>
      </c>
      <c r="Y152" s="103">
        <f t="shared" si="155"/>
        <v>0</v>
      </c>
      <c r="Z152" s="122">
        <f t="shared" si="153"/>
        <v>50</v>
      </c>
      <c r="AA152" s="110">
        <f t="shared" si="154"/>
        <v>3000.0000000000005</v>
      </c>
    </row>
    <row r="153" spans="1:27" ht="12.75">
      <c r="A153" s="16">
        <v>3544</v>
      </c>
      <c r="B153" s="3" t="s">
        <v>57</v>
      </c>
      <c r="C153" s="39">
        <v>704</v>
      </c>
      <c r="D153" s="39">
        <v>200</v>
      </c>
      <c r="E153" s="39"/>
      <c r="F153" s="11">
        <f t="shared" si="139"/>
        <v>1096.059008</v>
      </c>
      <c r="G153" s="11">
        <f t="shared" si="140"/>
        <v>311.3804</v>
      </c>
      <c r="H153" s="11">
        <f t="shared" si="140"/>
        <v>0</v>
      </c>
      <c r="I153" s="37">
        <f t="shared" si="141"/>
        <v>1407.439408</v>
      </c>
      <c r="J153" s="47">
        <f t="shared" si="142"/>
        <v>140.7439408</v>
      </c>
      <c r="K153" s="11">
        <f t="shared" si="143"/>
        <v>640</v>
      </c>
      <c r="L153" s="11"/>
      <c r="M153" s="47">
        <v>0</v>
      </c>
      <c r="N153" s="14">
        <f t="shared" si="144"/>
        <v>1334.692468193464</v>
      </c>
      <c r="O153" s="14">
        <f t="shared" si="145"/>
        <v>3522.8758169934645</v>
      </c>
      <c r="P153" s="52">
        <f t="shared" si="146"/>
        <v>387.51633986928107</v>
      </c>
      <c r="Q153" s="47">
        <f t="shared" si="147"/>
        <v>105.68627450980394</v>
      </c>
      <c r="R153" s="47">
        <f t="shared" si="147"/>
        <v>105.68627450980394</v>
      </c>
      <c r="S153" s="47">
        <f t="shared" si="148"/>
        <v>70.45751633986929</v>
      </c>
      <c r="T153" s="14">
        <f t="shared" si="149"/>
        <v>158.52941176470588</v>
      </c>
      <c r="U153" s="52">
        <f t="shared" si="150"/>
        <v>827.8758169934641</v>
      </c>
      <c r="V153" s="52">
        <f t="shared" si="156"/>
        <v>1673.960261832</v>
      </c>
      <c r="W153" s="98">
        <f t="shared" si="151"/>
        <v>2695.0000000000005</v>
      </c>
      <c r="X153" s="103">
        <f t="shared" si="152"/>
        <v>255</v>
      </c>
      <c r="Y153" s="103">
        <f t="shared" si="155"/>
        <v>0</v>
      </c>
      <c r="Z153" s="122">
        <f t="shared" si="153"/>
        <v>50</v>
      </c>
      <c r="AA153" s="110">
        <f t="shared" si="154"/>
        <v>3000.0000000000005</v>
      </c>
    </row>
    <row r="154" spans="1:27" ht="12.75">
      <c r="A154" s="16">
        <v>3549</v>
      </c>
      <c r="B154" s="3" t="s">
        <v>40</v>
      </c>
      <c r="C154" s="39">
        <v>753</v>
      </c>
      <c r="D154" s="39">
        <v>187</v>
      </c>
      <c r="E154" s="39"/>
      <c r="F154" s="11">
        <f t="shared" si="139"/>
        <v>1172.347206</v>
      </c>
      <c r="G154" s="11">
        <f t="shared" si="140"/>
        <v>291.140674</v>
      </c>
      <c r="H154" s="11">
        <f t="shared" si="140"/>
        <v>0</v>
      </c>
      <c r="I154" s="37">
        <f t="shared" si="141"/>
        <v>1463.48788</v>
      </c>
      <c r="J154" s="47">
        <f t="shared" si="142"/>
        <v>146.34878799999998</v>
      </c>
      <c r="K154" s="11">
        <f t="shared" si="143"/>
        <v>640</v>
      </c>
      <c r="L154" s="11"/>
      <c r="M154" s="47">
        <v>0</v>
      </c>
      <c r="N154" s="14">
        <f t="shared" si="144"/>
        <v>1273.039148993464</v>
      </c>
      <c r="O154" s="14">
        <f t="shared" si="145"/>
        <v>3522.875816993464</v>
      </c>
      <c r="P154" s="52">
        <f t="shared" si="146"/>
        <v>387.51633986928107</v>
      </c>
      <c r="Q154" s="47">
        <f t="shared" si="147"/>
        <v>105.68627450980392</v>
      </c>
      <c r="R154" s="47">
        <f t="shared" si="147"/>
        <v>105.68627450980392</v>
      </c>
      <c r="S154" s="47">
        <f t="shared" si="148"/>
        <v>70.45751633986929</v>
      </c>
      <c r="T154" s="14">
        <f t="shared" si="149"/>
        <v>158.52941176470588</v>
      </c>
      <c r="U154" s="52">
        <f t="shared" si="150"/>
        <v>827.8758169934641</v>
      </c>
      <c r="V154" s="52">
        <f t="shared" si="156"/>
        <v>1721.12505102</v>
      </c>
      <c r="W154" s="98">
        <f t="shared" si="151"/>
        <v>2695</v>
      </c>
      <c r="X154" s="103">
        <f t="shared" si="152"/>
        <v>255</v>
      </c>
      <c r="Y154" s="103">
        <f t="shared" si="155"/>
        <v>0</v>
      </c>
      <c r="Z154" s="122">
        <f t="shared" si="153"/>
        <v>50</v>
      </c>
      <c r="AA154" s="110">
        <f t="shared" si="154"/>
        <v>3000</v>
      </c>
    </row>
    <row r="155" spans="1:27" ht="12.75">
      <c r="A155" s="16">
        <v>3554</v>
      </c>
      <c r="B155" s="3" t="s">
        <v>43</v>
      </c>
      <c r="C155" s="39">
        <v>736</v>
      </c>
      <c r="D155" s="39">
        <v>74</v>
      </c>
      <c r="E155" s="39"/>
      <c r="F155" s="11">
        <f t="shared" si="139"/>
        <v>1145.879872</v>
      </c>
      <c r="G155" s="11">
        <f t="shared" si="140"/>
        <v>115.210748</v>
      </c>
      <c r="H155" s="11">
        <f t="shared" si="140"/>
        <v>0</v>
      </c>
      <c r="I155" s="37">
        <f t="shared" si="141"/>
        <v>1261.09062</v>
      </c>
      <c r="J155" s="47">
        <f t="shared" si="142"/>
        <v>126.109062</v>
      </c>
      <c r="K155" s="11">
        <f t="shared" si="143"/>
        <v>640</v>
      </c>
      <c r="L155" s="11"/>
      <c r="M155" s="47">
        <v>0</v>
      </c>
      <c r="N155" s="14">
        <f t="shared" si="144"/>
        <v>1495.676134993464</v>
      </c>
      <c r="O155" s="14">
        <f t="shared" si="145"/>
        <v>3522.875816993464</v>
      </c>
      <c r="P155" s="52">
        <f t="shared" si="146"/>
        <v>387.51633986928107</v>
      </c>
      <c r="Q155" s="47">
        <f t="shared" si="147"/>
        <v>105.68627450980392</v>
      </c>
      <c r="R155" s="47">
        <f t="shared" si="147"/>
        <v>105.68627450980392</v>
      </c>
      <c r="S155" s="47">
        <f t="shared" si="148"/>
        <v>70.45751633986929</v>
      </c>
      <c r="T155" s="14">
        <f t="shared" si="149"/>
        <v>158.52941176470588</v>
      </c>
      <c r="U155" s="52">
        <f t="shared" si="150"/>
        <v>827.8758169934641</v>
      </c>
      <c r="V155" s="52">
        <f t="shared" si="156"/>
        <v>1550.80775673</v>
      </c>
      <c r="W155" s="98">
        <f t="shared" si="151"/>
        <v>2695</v>
      </c>
      <c r="X155" s="103">
        <f t="shared" si="152"/>
        <v>255</v>
      </c>
      <c r="Y155" s="103">
        <f t="shared" si="155"/>
        <v>0</v>
      </c>
      <c r="Z155" s="122">
        <f t="shared" si="153"/>
        <v>50</v>
      </c>
      <c r="AA155" s="110">
        <f t="shared" si="154"/>
        <v>3000</v>
      </c>
    </row>
    <row r="156" spans="1:27" ht="12.75">
      <c r="A156" s="16">
        <v>3565</v>
      </c>
      <c r="B156" s="3" t="s">
        <v>59</v>
      </c>
      <c r="C156" s="39">
        <v>736</v>
      </c>
      <c r="D156" s="39">
        <v>74</v>
      </c>
      <c r="E156" s="39"/>
      <c r="F156" s="11">
        <f t="shared" si="139"/>
        <v>1145.879872</v>
      </c>
      <c r="G156" s="11">
        <f t="shared" si="140"/>
        <v>115.210748</v>
      </c>
      <c r="H156" s="11">
        <f t="shared" si="140"/>
        <v>0</v>
      </c>
      <c r="I156" s="37">
        <f t="shared" si="141"/>
        <v>1261.09062</v>
      </c>
      <c r="J156" s="47">
        <f t="shared" si="142"/>
        <v>126.109062</v>
      </c>
      <c r="K156" s="11">
        <f t="shared" si="143"/>
        <v>640</v>
      </c>
      <c r="L156" s="11"/>
      <c r="M156" s="47">
        <v>0</v>
      </c>
      <c r="N156" s="14">
        <f t="shared" si="144"/>
        <v>1495.676134993464</v>
      </c>
      <c r="O156" s="14">
        <f t="shared" si="145"/>
        <v>3522.875816993464</v>
      </c>
      <c r="P156" s="52">
        <f t="shared" si="146"/>
        <v>387.51633986928107</v>
      </c>
      <c r="Q156" s="47">
        <f t="shared" si="147"/>
        <v>105.68627450980392</v>
      </c>
      <c r="R156" s="47">
        <f t="shared" si="147"/>
        <v>105.68627450980392</v>
      </c>
      <c r="S156" s="47">
        <f t="shared" si="148"/>
        <v>70.45751633986929</v>
      </c>
      <c r="T156" s="14">
        <f t="shared" si="149"/>
        <v>158.52941176470588</v>
      </c>
      <c r="U156" s="52">
        <f t="shared" si="150"/>
        <v>827.8758169934641</v>
      </c>
      <c r="V156" s="52">
        <f t="shared" si="156"/>
        <v>1550.80775673</v>
      </c>
      <c r="W156" s="98">
        <f t="shared" si="151"/>
        <v>2695</v>
      </c>
      <c r="X156" s="103">
        <f t="shared" si="152"/>
        <v>255</v>
      </c>
      <c r="Y156" s="103">
        <f t="shared" si="155"/>
        <v>0</v>
      </c>
      <c r="Z156" s="122">
        <f t="shared" si="153"/>
        <v>50</v>
      </c>
      <c r="AA156" s="110">
        <f t="shared" si="154"/>
        <v>3000</v>
      </c>
    </row>
    <row r="157" spans="1:27" ht="13.5" thickBot="1">
      <c r="A157" s="17">
        <v>3598</v>
      </c>
      <c r="B157" s="6" t="s">
        <v>58</v>
      </c>
      <c r="C157" s="40">
        <v>58.75</v>
      </c>
      <c r="D157" s="40">
        <v>6.25</v>
      </c>
      <c r="E157" s="40"/>
      <c r="F157" s="12">
        <f t="shared" si="139"/>
        <v>91.4679925</v>
      </c>
      <c r="G157" s="12">
        <f t="shared" si="140"/>
        <v>9.7306375</v>
      </c>
      <c r="H157" s="11">
        <f t="shared" si="140"/>
        <v>0</v>
      </c>
      <c r="I157" s="37">
        <f t="shared" si="141"/>
        <v>101.19863</v>
      </c>
      <c r="J157" s="48">
        <f t="shared" si="142"/>
        <v>10.119863</v>
      </c>
      <c r="K157" s="12">
        <f>$D$10/17</f>
        <v>37.64705882352941</v>
      </c>
      <c r="L157" s="12"/>
      <c r="M157" s="48">
        <v>0</v>
      </c>
      <c r="N157" s="15">
        <f>IF(((I157+J157+K157+L157+M157)*15)&lt;$I$11,($I$11/15-(I157+J157+K157+L157+M157)),0)</f>
        <v>85.8924481764706</v>
      </c>
      <c r="O157" s="15">
        <f t="shared" si="145"/>
        <v>234.858</v>
      </c>
      <c r="P157" s="53">
        <f t="shared" si="146"/>
        <v>25.83438</v>
      </c>
      <c r="Q157" s="48">
        <f t="shared" si="147"/>
        <v>7.0457399999999994</v>
      </c>
      <c r="R157" s="48">
        <f t="shared" si="147"/>
        <v>7.0457399999999994</v>
      </c>
      <c r="S157" s="48">
        <f t="shared" si="148"/>
        <v>4.69716</v>
      </c>
      <c r="T157" s="15">
        <f t="shared" si="149"/>
        <v>10.56861</v>
      </c>
      <c r="U157" s="53">
        <f t="shared" si="150"/>
        <v>55.19163</v>
      </c>
      <c r="V157" s="53">
        <f t="shared" si="156"/>
        <v>113.958647145</v>
      </c>
      <c r="W157" s="99">
        <f t="shared" si="151"/>
        <v>179.66637</v>
      </c>
      <c r="X157" s="104">
        <f>$D$12/12</f>
        <v>21.25</v>
      </c>
      <c r="Y157" s="104">
        <f>$I$12/12</f>
        <v>0</v>
      </c>
      <c r="Z157" s="123">
        <f>$D$14/17</f>
        <v>2.9411764705882355</v>
      </c>
      <c r="AA157" s="121">
        <f t="shared" si="154"/>
        <v>203.85754647058823</v>
      </c>
    </row>
    <row r="158" ht="13.5" thickBot="1"/>
    <row r="159" spans="1:27" s="32" customFormat="1" ht="21" thickBot="1">
      <c r="A159" s="176" t="s">
        <v>96</v>
      </c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85"/>
      <c r="Y159" s="85"/>
      <c r="Z159" s="85"/>
      <c r="AA159" s="86"/>
    </row>
    <row r="160" spans="1:27" s="13" customFormat="1" ht="12.75" customHeight="1">
      <c r="A160" s="178" t="s">
        <v>1</v>
      </c>
      <c r="B160" s="180" t="s">
        <v>0</v>
      </c>
      <c r="C160" s="223" t="s">
        <v>2</v>
      </c>
      <c r="D160" s="224"/>
      <c r="E160" s="225"/>
      <c r="F160" s="182" t="s">
        <v>61</v>
      </c>
      <c r="G160" s="182" t="s">
        <v>62</v>
      </c>
      <c r="H160" s="207" t="s">
        <v>142</v>
      </c>
      <c r="I160" s="184" t="s">
        <v>68</v>
      </c>
      <c r="J160" s="184" t="s">
        <v>66</v>
      </c>
      <c r="K160" s="182" t="s">
        <v>132</v>
      </c>
      <c r="L160" s="182" t="s">
        <v>136</v>
      </c>
      <c r="M160" s="184" t="s">
        <v>77</v>
      </c>
      <c r="N160" s="186" t="s">
        <v>118</v>
      </c>
      <c r="O160" s="186" t="s">
        <v>117</v>
      </c>
      <c r="P160" s="188" t="s">
        <v>99</v>
      </c>
      <c r="Q160" s="189"/>
      <c r="R160" s="189"/>
      <c r="S160" s="189"/>
      <c r="T160" s="189"/>
      <c r="U160" s="190" t="s">
        <v>116</v>
      </c>
      <c r="V160" s="190" t="s">
        <v>115</v>
      </c>
      <c r="W160" s="206" t="s">
        <v>114</v>
      </c>
      <c r="X160" s="206" t="s">
        <v>121</v>
      </c>
      <c r="Y160" s="113"/>
      <c r="Z160" s="113"/>
      <c r="AA160" s="206" t="s">
        <v>122</v>
      </c>
    </row>
    <row r="161" spans="1:27" s="13" customFormat="1" ht="78" customHeight="1">
      <c r="A161" s="179"/>
      <c r="B161" s="181"/>
      <c r="C161" s="8" t="s">
        <v>3</v>
      </c>
      <c r="D161" s="8" t="s">
        <v>6</v>
      </c>
      <c r="E161" s="8" t="s">
        <v>141</v>
      </c>
      <c r="F161" s="183"/>
      <c r="G161" s="183"/>
      <c r="H161" s="182"/>
      <c r="I161" s="185"/>
      <c r="J161" s="185"/>
      <c r="K161" s="183"/>
      <c r="L161" s="183"/>
      <c r="M161" s="185"/>
      <c r="N161" s="187"/>
      <c r="O161" s="187"/>
      <c r="P161" s="63" t="s">
        <v>101</v>
      </c>
      <c r="Q161" s="62" t="s">
        <v>102</v>
      </c>
      <c r="R161" s="62" t="s">
        <v>103</v>
      </c>
      <c r="S161" s="64" t="s">
        <v>104</v>
      </c>
      <c r="T161" s="64" t="s">
        <v>105</v>
      </c>
      <c r="U161" s="191"/>
      <c r="V161" s="191"/>
      <c r="W161" s="205"/>
      <c r="X161" s="205"/>
      <c r="Y161" s="125" t="s">
        <v>140</v>
      </c>
      <c r="Z161" s="129" t="s">
        <v>145</v>
      </c>
      <c r="AA161" s="205"/>
    </row>
    <row r="162" spans="1:27" s="33" customFormat="1" ht="13.5" customHeight="1">
      <c r="A162" s="16">
        <v>3503</v>
      </c>
      <c r="B162" s="34" t="s">
        <v>36</v>
      </c>
      <c r="C162" s="39">
        <v>2625</v>
      </c>
      <c r="D162" s="139">
        <v>235</v>
      </c>
      <c r="E162" s="39">
        <v>143</v>
      </c>
      <c r="F162" s="11">
        <f aca="true" t="shared" si="157" ref="F162:F167">C162*$D$9</f>
        <v>4086.86775</v>
      </c>
      <c r="G162" s="159">
        <f aca="true" t="shared" si="158" ref="G162:H167">D162*$D$9</f>
        <v>365.87197</v>
      </c>
      <c r="H162" s="11">
        <f t="shared" si="158"/>
        <v>222.636986</v>
      </c>
      <c r="I162" s="37">
        <f aca="true" t="shared" si="159" ref="I162:I167">G162+F162+H162</f>
        <v>4675.376706</v>
      </c>
      <c r="J162" s="47">
        <f aca="true" t="shared" si="160" ref="J162:J167">I162*0.1</f>
        <v>467.5376706</v>
      </c>
      <c r="K162" s="11">
        <f aca="true" t="shared" si="161" ref="K162:K167">$D$10</f>
        <v>640</v>
      </c>
      <c r="L162" s="11">
        <v>273.53</v>
      </c>
      <c r="M162" s="47">
        <v>0</v>
      </c>
      <c r="N162" s="14">
        <f aca="true" t="shared" si="162" ref="N162:N167">IF((I162+J162+K162+L162+M162)-((I162+J162+K162+L162+M162)*0.235)&lt;$D$11,($D$11-((I162+J162+K162+L162+M162)-((I162+J162+K162+L162+M162)*0.235)))/0.765,0)</f>
        <v>0</v>
      </c>
      <c r="O162" s="14">
        <f aca="true" t="shared" si="163" ref="O162:O167">SUM(I162:N162)</f>
        <v>6056.4443765999995</v>
      </c>
      <c r="P162" s="52">
        <f aca="true" t="shared" si="164" ref="P162:P167">$O162*11%</f>
        <v>666.208881426</v>
      </c>
      <c r="Q162" s="47">
        <f aca="true" t="shared" si="165" ref="Q162:R167">$O162*3%</f>
        <v>181.69333129799998</v>
      </c>
      <c r="R162" s="47">
        <f t="shared" si="165"/>
        <v>181.69333129799998</v>
      </c>
      <c r="S162" s="47">
        <f aca="true" t="shared" si="166" ref="S162:S167">$O162*2%</f>
        <v>121.128887532</v>
      </c>
      <c r="T162" s="14">
        <f aca="true" t="shared" si="167" ref="T162:T167">$O162*4.5%</f>
        <v>272.53999694699996</v>
      </c>
      <c r="U162" s="52">
        <f aca="true" t="shared" si="168" ref="U162:U167">SUM(Q162:T162)+P162</f>
        <v>1423.2644285009999</v>
      </c>
      <c r="V162" s="52">
        <f>(I162+J162+K162+L162+M162)-((I162+J162+K162+L162+M162)*0.235)</f>
        <v>4633.179948098999</v>
      </c>
      <c r="W162" s="98">
        <f aca="true" t="shared" si="169" ref="W162:W167">O162-U162</f>
        <v>4633.179948098999</v>
      </c>
      <c r="X162" s="103">
        <f aca="true" t="shared" si="170" ref="X162:X167">$D$12</f>
        <v>255</v>
      </c>
      <c r="Y162" s="103">
        <f aca="true" t="shared" si="171" ref="Y162:Y167">$I$12</f>
        <v>0</v>
      </c>
      <c r="Z162" s="122">
        <f aca="true" t="shared" si="172" ref="Z162:Z167">$D$14</f>
        <v>50</v>
      </c>
      <c r="AA162" s="110">
        <f aca="true" t="shared" si="173" ref="AA162:AA167">W162+X162+Y162+Z162</f>
        <v>4938.179948098999</v>
      </c>
    </row>
    <row r="163" spans="1:27" s="33" customFormat="1" ht="13.5" customHeight="1">
      <c r="A163" s="16">
        <v>3504</v>
      </c>
      <c r="B163" s="34" t="s">
        <v>53</v>
      </c>
      <c r="C163" s="39">
        <v>2204</v>
      </c>
      <c r="D163" s="139">
        <v>284</v>
      </c>
      <c r="E163" s="39">
        <v>124</v>
      </c>
      <c r="F163" s="11">
        <f t="shared" si="157"/>
        <v>3431.4120080000002</v>
      </c>
      <c r="G163" s="159">
        <f t="shared" si="158"/>
        <v>442.160168</v>
      </c>
      <c r="H163" s="11">
        <f t="shared" si="158"/>
        <v>193.055848</v>
      </c>
      <c r="I163" s="37">
        <f t="shared" si="159"/>
        <v>4066.628024</v>
      </c>
      <c r="J163" s="47">
        <f t="shared" si="160"/>
        <v>406.66280240000003</v>
      </c>
      <c r="K163" s="11">
        <f t="shared" si="161"/>
        <v>640</v>
      </c>
      <c r="L163" s="11">
        <v>116.99</v>
      </c>
      <c r="M163" s="47">
        <v>0</v>
      </c>
      <c r="N163" s="14">
        <f t="shared" si="162"/>
        <v>0</v>
      </c>
      <c r="O163" s="14">
        <f t="shared" si="163"/>
        <v>5230.2808264</v>
      </c>
      <c r="P163" s="52">
        <f t="shared" si="164"/>
        <v>575.330890904</v>
      </c>
      <c r="Q163" s="47">
        <f t="shared" si="165"/>
        <v>156.90842479199998</v>
      </c>
      <c r="R163" s="47">
        <f t="shared" si="165"/>
        <v>156.90842479199998</v>
      </c>
      <c r="S163" s="47">
        <f t="shared" si="166"/>
        <v>104.605616528</v>
      </c>
      <c r="T163" s="14">
        <f t="shared" si="167"/>
        <v>235.36263718799998</v>
      </c>
      <c r="U163" s="52">
        <f t="shared" si="168"/>
        <v>1229.115994204</v>
      </c>
      <c r="V163" s="52">
        <f>(I163+J163+K163+L163+M163)-((I163+J163+K163+L163+M163)*0.235)</f>
        <v>4001.1648321959997</v>
      </c>
      <c r="W163" s="98">
        <f t="shared" si="169"/>
        <v>4001.1648321959997</v>
      </c>
      <c r="X163" s="103">
        <f t="shared" si="170"/>
        <v>255</v>
      </c>
      <c r="Y163" s="103">
        <f t="shared" si="171"/>
        <v>0</v>
      </c>
      <c r="Z163" s="122">
        <f t="shared" si="172"/>
        <v>50</v>
      </c>
      <c r="AA163" s="110">
        <f t="shared" si="173"/>
        <v>4306.164832196</v>
      </c>
    </row>
    <row r="164" spans="1:27" s="33" customFormat="1" ht="13.5" customHeight="1">
      <c r="A164" s="16">
        <v>3582</v>
      </c>
      <c r="B164" s="34" t="s">
        <v>57</v>
      </c>
      <c r="C164" s="39">
        <v>704</v>
      </c>
      <c r="D164" s="39">
        <v>100</v>
      </c>
      <c r="E164" s="39"/>
      <c r="F164" s="11">
        <f t="shared" si="157"/>
        <v>1096.059008</v>
      </c>
      <c r="G164" s="11">
        <f t="shared" si="158"/>
        <v>155.6902</v>
      </c>
      <c r="H164" s="11">
        <f t="shared" si="158"/>
        <v>0</v>
      </c>
      <c r="I164" s="37">
        <f t="shared" si="159"/>
        <v>1251.749208</v>
      </c>
      <c r="J164" s="47">
        <f t="shared" si="160"/>
        <v>125.1749208</v>
      </c>
      <c r="K164" s="11">
        <f t="shared" si="161"/>
        <v>640</v>
      </c>
      <c r="L164" s="11"/>
      <c r="M164" s="47">
        <v>0</v>
      </c>
      <c r="N164" s="14">
        <f t="shared" si="162"/>
        <v>1505.9516881934642</v>
      </c>
      <c r="O164" s="14">
        <f t="shared" si="163"/>
        <v>3522.875816993464</v>
      </c>
      <c r="P164" s="52">
        <f t="shared" si="164"/>
        <v>387.51633986928107</v>
      </c>
      <c r="Q164" s="47">
        <f t="shared" si="165"/>
        <v>105.68627450980392</v>
      </c>
      <c r="R164" s="47">
        <f t="shared" si="165"/>
        <v>105.68627450980392</v>
      </c>
      <c r="S164" s="47">
        <f t="shared" si="166"/>
        <v>70.45751633986929</v>
      </c>
      <c r="T164" s="14">
        <f t="shared" si="167"/>
        <v>158.52941176470588</v>
      </c>
      <c r="U164" s="52">
        <f t="shared" si="168"/>
        <v>827.8758169934641</v>
      </c>
      <c r="V164" s="52">
        <f>(I164+J164+K164+M164)-((I164+J164+K164+M164)*0.235)</f>
        <v>1542.9469585319998</v>
      </c>
      <c r="W164" s="98">
        <f t="shared" si="169"/>
        <v>2695</v>
      </c>
      <c r="X164" s="103">
        <f t="shared" si="170"/>
        <v>255</v>
      </c>
      <c r="Y164" s="103">
        <f t="shared" si="171"/>
        <v>0</v>
      </c>
      <c r="Z164" s="122">
        <f t="shared" si="172"/>
        <v>50</v>
      </c>
      <c r="AA164" s="110">
        <f t="shared" si="173"/>
        <v>3000</v>
      </c>
    </row>
    <row r="165" spans="1:27" ht="12.75">
      <c r="A165" s="16">
        <v>455</v>
      </c>
      <c r="B165" s="3" t="s">
        <v>89</v>
      </c>
      <c r="C165" s="39">
        <v>2115</v>
      </c>
      <c r="D165" s="39">
        <v>149</v>
      </c>
      <c r="E165" s="39"/>
      <c r="F165" s="11">
        <f t="shared" si="157"/>
        <v>3292.84773</v>
      </c>
      <c r="G165" s="11">
        <f t="shared" si="158"/>
        <v>231.978398</v>
      </c>
      <c r="H165" s="11">
        <f t="shared" si="158"/>
        <v>0</v>
      </c>
      <c r="I165" s="37">
        <f t="shared" si="159"/>
        <v>3524.826128</v>
      </c>
      <c r="J165" s="47">
        <f t="shared" si="160"/>
        <v>352.4826128</v>
      </c>
      <c r="K165" s="11">
        <f t="shared" si="161"/>
        <v>640</v>
      </c>
      <c r="L165" s="11"/>
      <c r="M165" s="47">
        <v>0</v>
      </c>
      <c r="N165" s="14">
        <f t="shared" si="162"/>
        <v>0</v>
      </c>
      <c r="O165" s="14">
        <f t="shared" si="163"/>
        <v>4517.3087408</v>
      </c>
      <c r="P165" s="52">
        <f t="shared" si="164"/>
        <v>496.903961488</v>
      </c>
      <c r="Q165" s="47">
        <f t="shared" si="165"/>
        <v>135.519262224</v>
      </c>
      <c r="R165" s="47">
        <f t="shared" si="165"/>
        <v>135.519262224</v>
      </c>
      <c r="S165" s="47">
        <f t="shared" si="166"/>
        <v>90.346174816</v>
      </c>
      <c r="T165" s="14">
        <f t="shared" si="167"/>
        <v>203.278893336</v>
      </c>
      <c r="U165" s="52">
        <f t="shared" si="168"/>
        <v>1061.567554088</v>
      </c>
      <c r="V165" s="52">
        <f>(I165+J165+K165+M165)-((I165+J165+K165+M165)*0.235)</f>
        <v>3455.741186712</v>
      </c>
      <c r="W165" s="98">
        <f t="shared" si="169"/>
        <v>3455.741186712</v>
      </c>
      <c r="X165" s="103">
        <f t="shared" si="170"/>
        <v>255</v>
      </c>
      <c r="Y165" s="103">
        <f t="shared" si="171"/>
        <v>0</v>
      </c>
      <c r="Z165" s="122">
        <f t="shared" si="172"/>
        <v>50</v>
      </c>
      <c r="AA165" s="110">
        <f t="shared" si="173"/>
        <v>3760.741186712</v>
      </c>
    </row>
    <row r="166" spans="1:27" ht="12.75">
      <c r="A166" s="16">
        <v>3525</v>
      </c>
      <c r="B166" s="3" t="s">
        <v>38</v>
      </c>
      <c r="C166" s="39">
        <v>1083</v>
      </c>
      <c r="D166" s="137">
        <v>717</v>
      </c>
      <c r="E166" s="135"/>
      <c r="F166" s="11">
        <f t="shared" si="157"/>
        <v>1686.124866</v>
      </c>
      <c r="G166" s="11">
        <f t="shared" si="158"/>
        <v>1116.298734</v>
      </c>
      <c r="H166" s="11">
        <f t="shared" si="158"/>
        <v>0</v>
      </c>
      <c r="I166" s="37">
        <f t="shared" si="159"/>
        <v>2802.4236</v>
      </c>
      <c r="J166" s="47">
        <f t="shared" si="160"/>
        <v>280.24236</v>
      </c>
      <c r="K166" s="11">
        <f t="shared" si="161"/>
        <v>640</v>
      </c>
      <c r="L166" s="11">
        <v>292.47</v>
      </c>
      <c r="M166" s="47">
        <v>0</v>
      </c>
      <c r="N166" s="14">
        <f t="shared" si="162"/>
        <v>0</v>
      </c>
      <c r="O166" s="14">
        <f t="shared" si="163"/>
        <v>4015.1359600000005</v>
      </c>
      <c r="P166" s="52">
        <f t="shared" si="164"/>
        <v>441.66495560000004</v>
      </c>
      <c r="Q166" s="47">
        <f t="shared" si="165"/>
        <v>120.4540788</v>
      </c>
      <c r="R166" s="47">
        <f t="shared" si="165"/>
        <v>120.4540788</v>
      </c>
      <c r="S166" s="47">
        <f t="shared" si="166"/>
        <v>80.30271920000001</v>
      </c>
      <c r="T166" s="14">
        <f t="shared" si="167"/>
        <v>180.68111820000001</v>
      </c>
      <c r="U166" s="52">
        <f t="shared" si="168"/>
        <v>943.5569506000002</v>
      </c>
      <c r="V166" s="52">
        <f>(I166+J166+K166+L166+M166)-((I166+J166+K166+L166+M166)*0.235)</f>
        <v>3071.5790094000004</v>
      </c>
      <c r="W166" s="98">
        <f t="shared" si="169"/>
        <v>3071.5790094000004</v>
      </c>
      <c r="X166" s="103">
        <f t="shared" si="170"/>
        <v>255</v>
      </c>
      <c r="Y166" s="103">
        <f t="shared" si="171"/>
        <v>0</v>
      </c>
      <c r="Z166" s="122">
        <f t="shared" si="172"/>
        <v>50</v>
      </c>
      <c r="AA166" s="110">
        <f t="shared" si="173"/>
        <v>3376.5790094000004</v>
      </c>
    </row>
    <row r="167" spans="1:27" ht="13.5" thickBot="1">
      <c r="A167" s="17">
        <v>3539</v>
      </c>
      <c r="B167" s="6" t="s">
        <v>56</v>
      </c>
      <c r="C167" s="40">
        <v>920</v>
      </c>
      <c r="D167" s="138">
        <v>552</v>
      </c>
      <c r="E167" s="136"/>
      <c r="F167" s="12">
        <f t="shared" si="157"/>
        <v>1432.34984</v>
      </c>
      <c r="G167" s="12">
        <f t="shared" si="158"/>
        <v>859.409904</v>
      </c>
      <c r="H167" s="11">
        <f t="shared" si="158"/>
        <v>0</v>
      </c>
      <c r="I167" s="37">
        <f t="shared" si="159"/>
        <v>2291.759744</v>
      </c>
      <c r="J167" s="48">
        <f t="shared" si="160"/>
        <v>229.1759744</v>
      </c>
      <c r="K167" s="12">
        <f t="shared" si="161"/>
        <v>640</v>
      </c>
      <c r="L167" s="12"/>
      <c r="M167" s="48">
        <v>0</v>
      </c>
      <c r="N167" s="15">
        <f t="shared" si="162"/>
        <v>361.9400985934643</v>
      </c>
      <c r="O167" s="15">
        <f t="shared" si="163"/>
        <v>3522.8758169934645</v>
      </c>
      <c r="P167" s="53">
        <f t="shared" si="164"/>
        <v>387.51633986928107</v>
      </c>
      <c r="Q167" s="48">
        <f t="shared" si="165"/>
        <v>105.68627450980394</v>
      </c>
      <c r="R167" s="48">
        <f t="shared" si="165"/>
        <v>105.68627450980394</v>
      </c>
      <c r="S167" s="48">
        <f t="shared" si="166"/>
        <v>70.45751633986929</v>
      </c>
      <c r="T167" s="15">
        <f t="shared" si="167"/>
        <v>158.52941176470588</v>
      </c>
      <c r="U167" s="53">
        <f t="shared" si="168"/>
        <v>827.8758169934641</v>
      </c>
      <c r="V167" s="53">
        <f>(I167+J167+K167+M167)-((I167+J167+K167+M167)*0.235)</f>
        <v>2418.115824576</v>
      </c>
      <c r="W167" s="99">
        <f t="shared" si="169"/>
        <v>2695.0000000000005</v>
      </c>
      <c r="X167" s="104">
        <f t="shared" si="170"/>
        <v>255</v>
      </c>
      <c r="Y167" s="104">
        <f t="shared" si="171"/>
        <v>0</v>
      </c>
      <c r="Z167" s="123">
        <f t="shared" si="172"/>
        <v>50</v>
      </c>
      <c r="AA167" s="121">
        <f t="shared" si="173"/>
        <v>3000.0000000000005</v>
      </c>
    </row>
    <row r="168" spans="6:12" s="26" customFormat="1" ht="12.75">
      <c r="F168" s="27"/>
      <c r="G168" s="27"/>
      <c r="H168" s="27"/>
      <c r="K168" s="27"/>
      <c r="L168" s="27"/>
    </row>
    <row r="169" spans="2:6" ht="12.75">
      <c r="B169" s="1" t="str">
        <f>B9</f>
        <v>Sueldo básico</v>
      </c>
      <c r="C169" s="1" t="s">
        <v>60</v>
      </c>
      <c r="D169" s="10">
        <f>D9</f>
        <v>1.556902</v>
      </c>
      <c r="E169" s="10"/>
      <c r="F169" s="80"/>
    </row>
    <row r="170" spans="1:5" ht="12.75">
      <c r="A170" s="46"/>
      <c r="B170" s="1" t="str">
        <f>B11</f>
        <v>Valores índices modificados por el Decreto 793/2006.</v>
      </c>
      <c r="C170" s="25" t="s">
        <v>120</v>
      </c>
      <c r="D170" s="79">
        <f>D10</f>
        <v>640</v>
      </c>
      <c r="E170" s="79"/>
    </row>
    <row r="171" spans="1:5" ht="12.75">
      <c r="A171" s="21"/>
      <c r="B171" s="1" t="str">
        <f>B12</f>
        <v>Códigos de cargo (no monetarios)</v>
      </c>
      <c r="C171" s="25" t="s">
        <v>113</v>
      </c>
      <c r="D171" s="79">
        <f>D11</f>
        <v>2695</v>
      </c>
      <c r="E171" s="79"/>
    </row>
    <row r="172" spans="3:9" ht="12.75">
      <c r="C172" s="197" t="s">
        <v>123</v>
      </c>
      <c r="D172" s="198">
        <v>255</v>
      </c>
      <c r="E172" s="130"/>
      <c r="F172" s="217"/>
      <c r="G172" s="217"/>
      <c r="H172" s="160"/>
      <c r="I172" s="218"/>
    </row>
    <row r="173" spans="3:9" ht="12.75">
      <c r="C173" s="197"/>
      <c r="D173" s="198"/>
      <c r="E173" s="130"/>
      <c r="F173" s="217"/>
      <c r="G173" s="217"/>
      <c r="H173" s="160"/>
      <c r="I173" s="219"/>
    </row>
    <row r="174" spans="3:26" ht="13.5" thickBot="1">
      <c r="C174" s="30" t="s">
        <v>87</v>
      </c>
      <c r="I174" s="32"/>
      <c r="J174" s="32"/>
      <c r="K174" s="35"/>
      <c r="L174" s="35"/>
      <c r="M174" s="32"/>
      <c r="N174" s="32"/>
      <c r="O174" s="32"/>
      <c r="W174" s="56"/>
      <c r="X174" s="25"/>
      <c r="Y174" s="25"/>
      <c r="Z174" s="25"/>
    </row>
    <row r="175" spans="3:23" ht="12.75">
      <c r="C175" s="36" t="s">
        <v>78</v>
      </c>
      <c r="D175" s="65" t="s">
        <v>79</v>
      </c>
      <c r="E175" s="65" t="s">
        <v>80</v>
      </c>
      <c r="F175" s="65" t="s">
        <v>81</v>
      </c>
      <c r="G175" s="65" t="s">
        <v>82</v>
      </c>
      <c r="H175" s="65" t="s">
        <v>83</v>
      </c>
      <c r="I175" s="65" t="s">
        <v>106</v>
      </c>
      <c r="J175" s="65" t="s">
        <v>84</v>
      </c>
      <c r="K175" s="65" t="s">
        <v>85</v>
      </c>
      <c r="L175" s="105" t="s">
        <v>86</v>
      </c>
      <c r="P175" s="50"/>
      <c r="W175" s="50"/>
    </row>
    <row r="176" spans="3:23" ht="13.5" thickBot="1">
      <c r="C176" s="66">
        <v>0.3</v>
      </c>
      <c r="D176" s="67">
        <v>0.4</v>
      </c>
      <c r="E176" s="67">
        <v>0.5</v>
      </c>
      <c r="F176" s="67">
        <v>0.6</v>
      </c>
      <c r="G176" s="67">
        <v>0.7</v>
      </c>
      <c r="H176" s="67">
        <v>0.8</v>
      </c>
      <c r="I176" s="67">
        <v>0.9</v>
      </c>
      <c r="J176" s="67">
        <v>1</v>
      </c>
      <c r="K176" s="67">
        <v>1.1</v>
      </c>
      <c r="L176" s="106">
        <v>1.2</v>
      </c>
      <c r="P176" s="49"/>
      <c r="W176" s="51"/>
    </row>
  </sheetData>
  <sheetProtection/>
  <mergeCells count="250">
    <mergeCell ref="C18:E18"/>
    <mergeCell ref="H18:H19"/>
    <mergeCell ref="C160:E160"/>
    <mergeCell ref="C145:E145"/>
    <mergeCell ref="C126:E126"/>
    <mergeCell ref="C140:E140"/>
    <mergeCell ref="H29:H30"/>
    <mergeCell ref="H49:H50"/>
    <mergeCell ref="H59:H60"/>
    <mergeCell ref="F18:F19"/>
    <mergeCell ref="F12:G13"/>
    <mergeCell ref="I12:I13"/>
    <mergeCell ref="AA160:AA161"/>
    <mergeCell ref="N160:N161"/>
    <mergeCell ref="O160:O161"/>
    <mergeCell ref="P160:T160"/>
    <mergeCell ref="U160:U161"/>
    <mergeCell ref="H140:H141"/>
    <mergeCell ref="X160:X161"/>
    <mergeCell ref="J160:J161"/>
    <mergeCell ref="C172:C173"/>
    <mergeCell ref="D172:D173"/>
    <mergeCell ref="V160:V161"/>
    <mergeCell ref="W160:W161"/>
    <mergeCell ref="I160:I161"/>
    <mergeCell ref="F172:G173"/>
    <mergeCell ref="I172:I173"/>
    <mergeCell ref="A160:A161"/>
    <mergeCell ref="B160:B161"/>
    <mergeCell ref="F160:F161"/>
    <mergeCell ref="G160:G161"/>
    <mergeCell ref="M160:M161"/>
    <mergeCell ref="L160:L161"/>
    <mergeCell ref="H160:H161"/>
    <mergeCell ref="K160:K161"/>
    <mergeCell ref="W145:W146"/>
    <mergeCell ref="X145:X146"/>
    <mergeCell ref="AA145:AA146"/>
    <mergeCell ref="A159:W159"/>
    <mergeCell ref="J145:J146"/>
    <mergeCell ref="K145:K146"/>
    <mergeCell ref="M145:M146"/>
    <mergeCell ref="N145:N146"/>
    <mergeCell ref="I145:I146"/>
    <mergeCell ref="H145:H146"/>
    <mergeCell ref="W140:W141"/>
    <mergeCell ref="X140:X141"/>
    <mergeCell ref="AA140:AA141"/>
    <mergeCell ref="A144:W144"/>
    <mergeCell ref="A145:A146"/>
    <mergeCell ref="B145:B146"/>
    <mergeCell ref="F145:F146"/>
    <mergeCell ref="U145:U146"/>
    <mergeCell ref="V145:V146"/>
    <mergeCell ref="G145:G146"/>
    <mergeCell ref="M140:M141"/>
    <mergeCell ref="N140:N141"/>
    <mergeCell ref="O140:O141"/>
    <mergeCell ref="P140:T140"/>
    <mergeCell ref="L140:L141"/>
    <mergeCell ref="L145:L146"/>
    <mergeCell ref="O145:O146"/>
    <mergeCell ref="P145:T145"/>
    <mergeCell ref="U140:U141"/>
    <mergeCell ref="V140:V141"/>
    <mergeCell ref="U126:U127"/>
    <mergeCell ref="V126:V127"/>
    <mergeCell ref="W126:W127"/>
    <mergeCell ref="X126:X127"/>
    <mergeCell ref="A139:W139"/>
    <mergeCell ref="A140:A141"/>
    <mergeCell ref="B140:B141"/>
    <mergeCell ref="O126:O127"/>
    <mergeCell ref="AA126:AA127"/>
    <mergeCell ref="F140:F141"/>
    <mergeCell ref="G140:G141"/>
    <mergeCell ref="I140:I141"/>
    <mergeCell ref="J140:J141"/>
    <mergeCell ref="K140:K141"/>
    <mergeCell ref="J126:J127"/>
    <mergeCell ref="K126:K127"/>
    <mergeCell ref="M126:M127"/>
    <mergeCell ref="N126:N127"/>
    <mergeCell ref="P126:T126"/>
    <mergeCell ref="A126:A127"/>
    <mergeCell ref="B126:B127"/>
    <mergeCell ref="F126:F127"/>
    <mergeCell ref="G126:G127"/>
    <mergeCell ref="I126:I127"/>
    <mergeCell ref="L126:L127"/>
    <mergeCell ref="H126:H127"/>
    <mergeCell ref="U115:U116"/>
    <mergeCell ref="V115:V116"/>
    <mergeCell ref="W115:W116"/>
    <mergeCell ref="X115:X116"/>
    <mergeCell ref="AA115:AA116"/>
    <mergeCell ref="A125:W125"/>
    <mergeCell ref="J115:J116"/>
    <mergeCell ref="K115:K116"/>
    <mergeCell ref="M115:M116"/>
    <mergeCell ref="N115:N116"/>
    <mergeCell ref="O115:O116"/>
    <mergeCell ref="P115:T115"/>
    <mergeCell ref="A115:A116"/>
    <mergeCell ref="B115:B116"/>
    <mergeCell ref="F115:F116"/>
    <mergeCell ref="G115:G116"/>
    <mergeCell ref="I115:I116"/>
    <mergeCell ref="L115:L116"/>
    <mergeCell ref="H115:H116"/>
    <mergeCell ref="U99:U100"/>
    <mergeCell ref="V99:V100"/>
    <mergeCell ref="W99:W100"/>
    <mergeCell ref="X99:X100"/>
    <mergeCell ref="AA99:AA100"/>
    <mergeCell ref="A114:W114"/>
    <mergeCell ref="J99:J100"/>
    <mergeCell ref="K99:K100"/>
    <mergeCell ref="M99:M100"/>
    <mergeCell ref="N99:N100"/>
    <mergeCell ref="O99:O100"/>
    <mergeCell ref="P99:T99"/>
    <mergeCell ref="A99:A100"/>
    <mergeCell ref="B99:B100"/>
    <mergeCell ref="F99:F100"/>
    <mergeCell ref="G99:G100"/>
    <mergeCell ref="I99:I100"/>
    <mergeCell ref="L99:L100"/>
    <mergeCell ref="H99:H100"/>
    <mergeCell ref="U69:U70"/>
    <mergeCell ref="V69:V70"/>
    <mergeCell ref="W69:W70"/>
    <mergeCell ref="X69:X70"/>
    <mergeCell ref="AA69:AA70"/>
    <mergeCell ref="A98:W98"/>
    <mergeCell ref="J69:J70"/>
    <mergeCell ref="K69:K70"/>
    <mergeCell ref="M69:M70"/>
    <mergeCell ref="N69:N70"/>
    <mergeCell ref="O69:O70"/>
    <mergeCell ref="P69:T69"/>
    <mergeCell ref="A69:A70"/>
    <mergeCell ref="B69:B70"/>
    <mergeCell ref="C69:D69"/>
    <mergeCell ref="F69:F70"/>
    <mergeCell ref="G69:G70"/>
    <mergeCell ref="I69:I70"/>
    <mergeCell ref="L69:L70"/>
    <mergeCell ref="H69:H70"/>
    <mergeCell ref="X59:X60"/>
    <mergeCell ref="AA59:AA60"/>
    <mergeCell ref="A68:W68"/>
    <mergeCell ref="J59:J60"/>
    <mergeCell ref="K59:K60"/>
    <mergeCell ref="M59:M60"/>
    <mergeCell ref="N59:N60"/>
    <mergeCell ref="G59:G60"/>
    <mergeCell ref="I59:I60"/>
    <mergeCell ref="X49:X50"/>
    <mergeCell ref="AA49:AA50"/>
    <mergeCell ref="A58:W58"/>
    <mergeCell ref="A59:A60"/>
    <mergeCell ref="B59:B60"/>
    <mergeCell ref="C59:D59"/>
    <mergeCell ref="F59:F60"/>
    <mergeCell ref="U59:U60"/>
    <mergeCell ref="V59:V60"/>
    <mergeCell ref="W59:W60"/>
    <mergeCell ref="M49:M50"/>
    <mergeCell ref="N49:N50"/>
    <mergeCell ref="O49:O50"/>
    <mergeCell ref="P49:T49"/>
    <mergeCell ref="L49:L50"/>
    <mergeCell ref="L59:L60"/>
    <mergeCell ref="O59:O60"/>
    <mergeCell ref="P59:T59"/>
    <mergeCell ref="U49:U50"/>
    <mergeCell ref="V49:V50"/>
    <mergeCell ref="U40:U41"/>
    <mergeCell ref="V40:V41"/>
    <mergeCell ref="W40:W41"/>
    <mergeCell ref="X40:X41"/>
    <mergeCell ref="A48:W48"/>
    <mergeCell ref="A49:A50"/>
    <mergeCell ref="B49:B50"/>
    <mergeCell ref="W49:W50"/>
    <mergeCell ref="AA40:AA41"/>
    <mergeCell ref="F49:F50"/>
    <mergeCell ref="G49:G50"/>
    <mergeCell ref="I49:I50"/>
    <mergeCell ref="J49:J50"/>
    <mergeCell ref="K49:K50"/>
    <mergeCell ref="J40:J41"/>
    <mergeCell ref="K40:K41"/>
    <mergeCell ref="M40:M41"/>
    <mergeCell ref="N40:N41"/>
    <mergeCell ref="O40:O41"/>
    <mergeCell ref="P40:T40"/>
    <mergeCell ref="A40:A41"/>
    <mergeCell ref="B40:B41"/>
    <mergeCell ref="C40:D40"/>
    <mergeCell ref="F40:F41"/>
    <mergeCell ref="G40:G41"/>
    <mergeCell ref="I40:I41"/>
    <mergeCell ref="L40:L41"/>
    <mergeCell ref="H40:H41"/>
    <mergeCell ref="X29:X30"/>
    <mergeCell ref="AA29:AA30"/>
    <mergeCell ref="A39:W39"/>
    <mergeCell ref="J29:J30"/>
    <mergeCell ref="K29:K30"/>
    <mergeCell ref="M29:M30"/>
    <mergeCell ref="N29:N30"/>
    <mergeCell ref="G29:G30"/>
    <mergeCell ref="I29:I30"/>
    <mergeCell ref="X18:X19"/>
    <mergeCell ref="AA18:AA19"/>
    <mergeCell ref="A28:W28"/>
    <mergeCell ref="A29:A30"/>
    <mergeCell ref="B29:B30"/>
    <mergeCell ref="C29:D29"/>
    <mergeCell ref="F29:F30"/>
    <mergeCell ref="U29:U30"/>
    <mergeCell ref="V29:V30"/>
    <mergeCell ref="W29:W30"/>
    <mergeCell ref="O18:O19"/>
    <mergeCell ref="P18:T18"/>
    <mergeCell ref="L29:L30"/>
    <mergeCell ref="O29:O30"/>
    <mergeCell ref="P29:T29"/>
    <mergeCell ref="W18:W19"/>
    <mergeCell ref="U18:U19"/>
    <mergeCell ref="V18:V19"/>
    <mergeCell ref="N18:N19"/>
    <mergeCell ref="G18:G19"/>
    <mergeCell ref="I18:I19"/>
    <mergeCell ref="J18:J19"/>
    <mergeCell ref="K18:K19"/>
    <mergeCell ref="L18:L19"/>
    <mergeCell ref="M18:M19"/>
    <mergeCell ref="C49:D49"/>
    <mergeCell ref="A6:W6"/>
    <mergeCell ref="A7:W7"/>
    <mergeCell ref="A8:W8"/>
    <mergeCell ref="M11:P14"/>
    <mergeCell ref="C12:C13"/>
    <mergeCell ref="D12:D13"/>
    <mergeCell ref="A17:W17"/>
    <mergeCell ref="A18:A19"/>
    <mergeCell ref="B18:B19"/>
  </mergeCells>
  <printOptions/>
  <pageMargins left="0.7480314960629921" right="0.7480314960629921" top="0.984251968503937" bottom="0.984251968503937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M. Sirotzky</dc:creator>
  <cp:keywords/>
  <dc:description/>
  <cp:lastModifiedBy>Jorge</cp:lastModifiedBy>
  <cp:lastPrinted>2011-07-13T21:11:15Z</cp:lastPrinted>
  <dcterms:created xsi:type="dcterms:W3CDTF">2004-08-24T12:38:23Z</dcterms:created>
  <dcterms:modified xsi:type="dcterms:W3CDTF">2012-03-16T17:00:37Z</dcterms:modified>
  <cp:category/>
  <cp:version/>
  <cp:contentType/>
  <cp:contentStatus/>
</cp:coreProperties>
</file>